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_rels/sheet17.xml.rels" ContentType="application/vnd.openxmlformats-package.relationships+xml"/>
  <Override PartName="/xl/worksheets/_rels/sheet3.xml.rels" ContentType="application/vnd.openxmlformats-package.relationships+xml"/>
  <Override PartName="/xl/worksheets/_rels/sheet9.xml.rels" ContentType="application/vnd.openxmlformats-package.relationships+xml"/>
  <Override PartName="/xl/worksheets/_rels/sheet6.xml.rels" ContentType="application/vnd.openxmlformats-package.relationships+xml"/>
  <Override PartName="/xl/worksheets/_rels/sheet11.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3.xml" ContentType="application/vnd.openxmlformats-officedocument.spreadsheetml.worksheet+xml"/>
  <Override PartName="/xl/comments9.xml" ContentType="application/vnd.openxmlformats-officedocument.spreadsheetml.comments+xml"/>
  <Override PartName="/xl/sharedStrings.xml" ContentType="application/vnd.openxmlformats-officedocument.spreadsheetml.sharedStrings+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xl/drawings/vmlDrawing5.vml" ContentType="application/vnd.openxmlformats-officedocument.vmlDrawing"/>
  <Override PartName="/xl/comments6.xml" ContentType="application/vnd.openxmlformats-officedocument.spreadsheetml.comments+xml"/>
  <Override PartName="/xl/comments11.xml" ContentType="application/vnd.openxmlformats-officedocument.spreadsheetml.comments+xml"/>
  <Override PartName="/xl/comments17.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0_README" sheetId="1" state="visible" r:id="rId3"/>
    <sheet name="01_PARAMETERS" sheetId="2" state="visible" r:id="rId4"/>
    <sheet name="02_2010_BASELINE" sheetId="3" state="visible" r:id="rId5"/>
    <sheet name="04_INCIDENCE_FACTORS" sheetId="4" state="visible" r:id="rId6"/>
    <sheet name="05_PRICE_FACTORS" sheetId="5" state="visible" r:id="rId7"/>
    <sheet name="06_COMPONENT_CALC" sheetId="6" state="visible" r:id="rId8"/>
    <sheet name="07_GOVERNMENT_SHARE" sheetId="7" state="visible" r:id="rId9"/>
    <sheet name="03_SOURCE_MAP" sheetId="8" state="visible" r:id="rId10"/>
    <sheet name="08_SUBSETS" sheetId="9" state="visible" r:id="rId11"/>
    <sheet name="09_PER_DRINK_CAPITA" sheetId="10" state="visible" r:id="rId12"/>
    <sheet name="10_STATE_ALLOCATORS" sheetId="11" state="visible" r:id="rId13"/>
    <sheet name="11_SENSITIVITY" sheetId="12" state="visible" r:id="rId14"/>
    <sheet name="12_QA" sheetId="13" state="visible" r:id="rId15"/>
    <sheet name="13_OUTPUT" sheetId="14" state="visible" r:id="rId16"/>
    <sheet name="IA_00_README" sheetId="15" state="visible" r:id="rId17"/>
    <sheet name="IA_02_TRACK_A" sheetId="16" state="visible" r:id="rId18"/>
    <sheet name="IA_06_COMPONENT_CALC" sheetId="17" state="visible" r:id="rId19"/>
    <sheet name="IA_11_SENSITIVITY" sheetId="18" state="visible" r:id="rId20"/>
    <sheet name="IA_12_QA" sheetId="19" state="visible" r:id="rId21"/>
  </sheets>
  <calcPr iterateCount="100" refMode="A1" iterate="false" iterateDelta="0.0001"/>
  <extLst>
    <ext xmlns:loext="http://schemas.libreoffice.org/" uri="{7626C862-2A13-11E5-B345-FEFF819CDC9F}">
      <loext:extCalcPr stringRefSyntax="ExcelA1"/>
    </ext>
  </extLst>
</workbook>
</file>

<file path=xl/comments11.xml><?xml version="1.0" encoding="utf-8"?>
<comments xmlns="http://schemas.openxmlformats.org/spreadsheetml/2006/main" xmlns:xdr="http://schemas.openxmlformats.org/drawingml/2006/spreadsheetDrawing">
  <authors>
    <author>Unknown Author</author>
  </authors>
  <commentList>
    <comment ref="B8" authorId="0">
      <text>
        <r>
          <rPr>
            <sz val="10"/>
            <rFont val="Arial"/>
            <family val="2"/>
          </rPr>
          <t xml:space="preserve">Sacks et al. 2015 published state cost, via the CDC state table. The 51 published values sum to $249,026.3M.</t>
        </r>
      </text>
    </comment>
    <comment ref="B9" authorId="0">
      <text>
        <r>
          <rPr>
            <sz val="10"/>
            <rFont val="Arial"/>
            <family val="2"/>
          </rPr>
          <t xml:space="preserve">Sacks et al. 2015 published state cost, via the CDC state table. The 51 published values sum to $249,026.3M.</t>
        </r>
      </text>
    </comment>
    <comment ref="B10" authorId="0">
      <text>
        <r>
          <rPr>
            <sz val="10"/>
            <rFont val="Arial"/>
            <family val="2"/>
          </rPr>
          <t xml:space="preserve">Sacks et al. 2015 published state cost, via the CDC state table. The 51 published values sum to $249,026.3M.</t>
        </r>
      </text>
    </comment>
    <comment ref="B11" authorId="0">
      <text>
        <r>
          <rPr>
            <sz val="10"/>
            <rFont val="Arial"/>
            <family val="2"/>
          </rPr>
          <t xml:space="preserve">Sacks et al. 2015 published state cost, via the CDC state table. The 51 published values sum to $249,026.3M.</t>
        </r>
      </text>
    </comment>
    <comment ref="B12" authorId="0">
      <text>
        <r>
          <rPr>
            <sz val="10"/>
            <rFont val="Arial"/>
            <family val="2"/>
          </rPr>
          <t xml:space="preserve">Sacks et al. 2015 published state cost, via the CDC state table. The 51 published values sum to $249,026.3M.</t>
        </r>
      </text>
    </comment>
    <comment ref="B13" authorId="0">
      <text>
        <r>
          <rPr>
            <sz val="10"/>
            <rFont val="Arial"/>
            <family val="2"/>
          </rPr>
          <t xml:space="preserve">Sacks et al. 2015 published state cost, via the CDC state table. The 51 published values sum to $249,026.3M.</t>
        </r>
      </text>
    </comment>
    <comment ref="B14" authorId="0">
      <text>
        <r>
          <rPr>
            <sz val="10"/>
            <rFont val="Arial"/>
            <family val="2"/>
          </rPr>
          <t xml:space="preserve">Sacks et al. 2015 published state cost, via the CDC state table. The 51 published values sum to $249,026.3M.</t>
        </r>
      </text>
    </comment>
    <comment ref="B15" authorId="0">
      <text>
        <r>
          <rPr>
            <sz val="10"/>
            <rFont val="Arial"/>
            <family val="2"/>
          </rPr>
          <t xml:space="preserve">Sacks et al. 2015 published state cost, via the CDC state table. The 51 published values sum to $249,026.3M.</t>
        </r>
      </text>
    </comment>
    <comment ref="B16" authorId="0">
      <text>
        <r>
          <rPr>
            <sz val="10"/>
            <rFont val="Arial"/>
            <family val="2"/>
          </rPr>
          <t xml:space="preserve">Sacks et al. 2015 published state cost, via the CDC state table. The 51 published values sum to $249,026.3M.</t>
        </r>
      </text>
    </comment>
    <comment ref="B17" authorId="0">
      <text>
        <r>
          <rPr>
            <sz val="10"/>
            <rFont val="Arial"/>
            <family val="2"/>
          </rPr>
          <t xml:space="preserve">Sacks et al. 2015 published state cost, via the CDC state table. The 51 published values sum to $249,026.3M.</t>
        </r>
      </text>
    </comment>
    <comment ref="B18" authorId="0">
      <text>
        <r>
          <rPr>
            <sz val="10"/>
            <rFont val="Arial"/>
            <family val="2"/>
          </rPr>
          <t xml:space="preserve">Sacks et al. 2015 published state cost, via the CDC state table. The 51 published values sum to $249,026.3M.</t>
        </r>
      </text>
    </comment>
    <comment ref="B19" authorId="0">
      <text>
        <r>
          <rPr>
            <sz val="10"/>
            <rFont val="Arial"/>
            <family val="2"/>
          </rPr>
          <t xml:space="preserve">Sacks et al. 2015 published state cost, via the CDC state table. The 51 published values sum to $249,026.3M.</t>
        </r>
      </text>
    </comment>
    <comment ref="B20" authorId="0">
      <text>
        <r>
          <rPr>
            <sz val="10"/>
            <rFont val="Arial"/>
            <family val="2"/>
          </rPr>
          <t xml:space="preserve">Sacks et al. 2015 published state cost, via the CDC state table. The 51 published values sum to $249,026.3M.</t>
        </r>
      </text>
    </comment>
    <comment ref="B21" authorId="0">
      <text>
        <r>
          <rPr>
            <sz val="10"/>
            <rFont val="Arial"/>
            <family val="2"/>
          </rPr>
          <t xml:space="preserve">Sacks et al. 2015 published state cost, via the CDC state table. The 51 published values sum to $249,026.3M.</t>
        </r>
      </text>
    </comment>
    <comment ref="B22" authorId="0">
      <text>
        <r>
          <rPr>
            <sz val="10"/>
            <rFont val="Arial"/>
            <family val="2"/>
          </rPr>
          <t xml:space="preserve">Sacks et al. 2015 published state cost, via the CDC state table. The 51 published values sum to $249,026.3M.</t>
        </r>
      </text>
    </comment>
    <comment ref="B23" authorId="0">
      <text>
        <r>
          <rPr>
            <sz val="10"/>
            <rFont val="Arial"/>
            <family val="2"/>
          </rPr>
          <t xml:space="preserve">Sacks et al. 2015 published state cost, via the CDC state table. The 51 published values sum to $249,026.3M.</t>
        </r>
      </text>
    </comment>
    <comment ref="B24" authorId="0">
      <text>
        <r>
          <rPr>
            <sz val="10"/>
            <rFont val="Arial"/>
            <family val="2"/>
          </rPr>
          <t xml:space="preserve">Sacks et al. 2015 published state cost, via the CDC state table. The 51 published values sum to $249,026.3M.</t>
        </r>
      </text>
    </comment>
    <comment ref="B25" authorId="0">
      <text>
        <r>
          <rPr>
            <sz val="10"/>
            <rFont val="Arial"/>
            <family val="2"/>
          </rPr>
          <t xml:space="preserve">Sacks et al. 2015 published state cost, via the CDC state table. The 51 published values sum to $249,026.3M.</t>
        </r>
      </text>
    </comment>
    <comment ref="B26" authorId="0">
      <text>
        <r>
          <rPr>
            <sz val="10"/>
            <rFont val="Arial"/>
            <family val="2"/>
          </rPr>
          <t xml:space="preserve">Sacks et al. 2015 published state cost, via the CDC state table. The 51 published values sum to $249,026.3M.</t>
        </r>
      </text>
    </comment>
    <comment ref="B27" authorId="0">
      <text>
        <r>
          <rPr>
            <sz val="10"/>
            <rFont val="Arial"/>
            <family val="2"/>
          </rPr>
          <t xml:space="preserve">Sacks et al. 2015 published state cost, via the CDC state table. The 51 published values sum to $249,026.3M.</t>
        </r>
      </text>
    </comment>
    <comment ref="B28" authorId="0">
      <text>
        <r>
          <rPr>
            <sz val="10"/>
            <rFont val="Arial"/>
            <family val="2"/>
          </rPr>
          <t xml:space="preserve">Sacks et al. 2015 published state cost, via the CDC state table. The 51 published values sum to $249,026.3M.</t>
        </r>
      </text>
    </comment>
    <comment ref="B29" authorId="0">
      <text>
        <r>
          <rPr>
            <sz val="10"/>
            <rFont val="Arial"/>
            <family val="2"/>
          </rPr>
          <t xml:space="preserve">Sacks et al. 2015 published state cost, via the CDC state table. The 51 published values sum to $249,026.3M.</t>
        </r>
      </text>
    </comment>
    <comment ref="B30" authorId="0">
      <text>
        <r>
          <rPr>
            <sz val="10"/>
            <rFont val="Arial"/>
            <family val="2"/>
          </rPr>
          <t xml:space="preserve">Sacks et al. 2015 published state cost, via the CDC state table. The 51 published values sum to $249,026.3M.</t>
        </r>
      </text>
    </comment>
    <comment ref="B31" authorId="0">
      <text>
        <r>
          <rPr>
            <sz val="10"/>
            <rFont val="Arial"/>
            <family val="2"/>
          </rPr>
          <t xml:space="preserve">Sacks et al. 2015 published state cost, via the CDC state table. The 51 published values sum to $249,026.3M.</t>
        </r>
      </text>
    </comment>
    <comment ref="B32" authorId="0">
      <text>
        <r>
          <rPr>
            <sz val="10"/>
            <rFont val="Arial"/>
            <family val="2"/>
          </rPr>
          <t xml:space="preserve">Sacks et al. 2015 published state cost, via the CDC state table. The 51 published values sum to $249,026.3M.</t>
        </r>
      </text>
    </comment>
    <comment ref="B33" authorId="0">
      <text>
        <r>
          <rPr>
            <sz val="10"/>
            <rFont val="Arial"/>
            <family val="2"/>
          </rPr>
          <t xml:space="preserve">Sacks et al. 2015 published state cost, via the CDC state table. The 51 published values sum to $249,026.3M.</t>
        </r>
      </text>
    </comment>
    <comment ref="B34" authorId="0">
      <text>
        <r>
          <rPr>
            <sz val="10"/>
            <rFont val="Arial"/>
            <family val="2"/>
          </rPr>
          <t xml:space="preserve">Sacks et al. 2015 published state cost, via the CDC state table. The 51 published values sum to $249,026.3M.</t>
        </r>
      </text>
    </comment>
    <comment ref="B35" authorId="0">
      <text>
        <r>
          <rPr>
            <sz val="10"/>
            <rFont val="Arial"/>
            <family val="2"/>
          </rPr>
          <t xml:space="preserve">Sacks et al. 2015 published state cost, via the CDC state table. The 51 published values sum to $249,026.3M.</t>
        </r>
      </text>
    </comment>
    <comment ref="B36" authorId="0">
      <text>
        <r>
          <rPr>
            <sz val="10"/>
            <rFont val="Arial"/>
            <family val="2"/>
          </rPr>
          <t xml:space="preserve">Sacks et al. 2015 published state cost, via the CDC state table. The 51 published values sum to $249,026.3M.</t>
        </r>
      </text>
    </comment>
    <comment ref="B37" authorId="0">
      <text>
        <r>
          <rPr>
            <sz val="10"/>
            <rFont val="Arial"/>
            <family val="2"/>
          </rPr>
          <t xml:space="preserve">Sacks et al. 2015 published state cost, via the CDC state table. The 51 published values sum to $249,026.3M.</t>
        </r>
      </text>
    </comment>
    <comment ref="B38" authorId="0">
      <text>
        <r>
          <rPr>
            <sz val="10"/>
            <rFont val="Arial"/>
            <family val="2"/>
          </rPr>
          <t xml:space="preserve">Sacks et al. 2015 published state cost, via the CDC state table. The 51 published values sum to $249,026.3M.</t>
        </r>
      </text>
    </comment>
    <comment ref="B39" authorId="0">
      <text>
        <r>
          <rPr>
            <sz val="10"/>
            <rFont val="Arial"/>
            <family val="2"/>
          </rPr>
          <t xml:space="preserve">Sacks et al. 2015 published state cost, via the CDC state table. The 51 published values sum to $249,026.3M.</t>
        </r>
      </text>
    </comment>
    <comment ref="B40" authorId="0">
      <text>
        <r>
          <rPr>
            <sz val="10"/>
            <rFont val="Arial"/>
            <family val="2"/>
          </rPr>
          <t xml:space="preserve">Sacks et al. 2015 published state cost, via the CDC state table. The 51 published values sum to $249,026.3M.</t>
        </r>
      </text>
    </comment>
    <comment ref="B41" authorId="0">
      <text>
        <r>
          <rPr>
            <sz val="10"/>
            <rFont val="Arial"/>
            <family val="2"/>
          </rPr>
          <t xml:space="preserve">Sacks et al. 2015 published state cost, via the CDC state table. The 51 published values sum to $249,026.3M.</t>
        </r>
      </text>
    </comment>
    <comment ref="B42" authorId="0">
      <text>
        <r>
          <rPr>
            <sz val="10"/>
            <rFont val="Arial"/>
            <family val="2"/>
          </rPr>
          <t xml:space="preserve">Sacks et al. 2015 published state cost, via the CDC state table. The 51 published values sum to $249,026.3M.</t>
        </r>
      </text>
    </comment>
    <comment ref="B43" authorId="0">
      <text>
        <r>
          <rPr>
            <sz val="10"/>
            <rFont val="Arial"/>
            <family val="2"/>
          </rPr>
          <t xml:space="preserve">Sacks et al. 2015 published state cost, via the CDC state table. The 51 published values sum to $249,026.3M.</t>
        </r>
      </text>
    </comment>
    <comment ref="B44" authorId="0">
      <text>
        <r>
          <rPr>
            <sz val="10"/>
            <rFont val="Arial"/>
            <family val="2"/>
          </rPr>
          <t xml:space="preserve">Sacks et al. 2015 published state cost, via the CDC state table. The 51 published values sum to $249,026.3M.</t>
        </r>
      </text>
    </comment>
    <comment ref="B45" authorId="0">
      <text>
        <r>
          <rPr>
            <sz val="10"/>
            <rFont val="Arial"/>
            <family val="2"/>
          </rPr>
          <t xml:space="preserve">Sacks et al. 2015 published state cost, via the CDC state table. The 51 published values sum to $249,026.3M.</t>
        </r>
      </text>
    </comment>
    <comment ref="B46" authorId="0">
      <text>
        <r>
          <rPr>
            <sz val="10"/>
            <rFont val="Arial"/>
            <family val="2"/>
          </rPr>
          <t xml:space="preserve">Sacks et al. 2015 published state cost, via the CDC state table. The 51 published values sum to $249,026.3M.</t>
        </r>
      </text>
    </comment>
    <comment ref="B47" authorId="0">
      <text>
        <r>
          <rPr>
            <sz val="10"/>
            <rFont val="Arial"/>
            <family val="2"/>
          </rPr>
          <t xml:space="preserve">Sacks et al. 2015 published state cost, via the CDC state table. The 51 published values sum to $249,026.3M.</t>
        </r>
      </text>
    </comment>
    <comment ref="B48" authorId="0">
      <text>
        <r>
          <rPr>
            <sz val="10"/>
            <rFont val="Arial"/>
            <family val="2"/>
          </rPr>
          <t xml:space="preserve">Sacks et al. 2015 published state cost, via the CDC state table. The 51 published values sum to $249,026.3M.</t>
        </r>
      </text>
    </comment>
    <comment ref="B49" authorId="0">
      <text>
        <r>
          <rPr>
            <sz val="10"/>
            <rFont val="Arial"/>
            <family val="2"/>
          </rPr>
          <t xml:space="preserve">Sacks et al. 2015 published state cost, via the CDC state table. The 51 published values sum to $249,026.3M.</t>
        </r>
      </text>
    </comment>
    <comment ref="B50" authorId="0">
      <text>
        <r>
          <rPr>
            <sz val="10"/>
            <rFont val="Arial"/>
            <family val="2"/>
          </rPr>
          <t xml:space="preserve">Sacks et al. 2015 published state cost, via the CDC state table. The 51 published values sum to $249,026.3M.</t>
        </r>
      </text>
    </comment>
    <comment ref="B51" authorId="0">
      <text>
        <r>
          <rPr>
            <sz val="10"/>
            <rFont val="Arial"/>
            <family val="2"/>
          </rPr>
          <t xml:space="preserve">Sacks et al. 2015 published state cost, via the CDC state table. The 51 published values sum to $249,026.3M.</t>
        </r>
      </text>
    </comment>
    <comment ref="B52" authorId="0">
      <text>
        <r>
          <rPr>
            <sz val="10"/>
            <rFont val="Arial"/>
            <family val="2"/>
          </rPr>
          <t xml:space="preserve">Sacks et al. 2015 published state cost, via the CDC state table. The 51 published values sum to $249,026.3M.</t>
        </r>
      </text>
    </comment>
    <comment ref="B53" authorId="0">
      <text>
        <r>
          <rPr>
            <sz val="10"/>
            <rFont val="Arial"/>
            <family val="2"/>
          </rPr>
          <t xml:space="preserve">Sacks et al. 2015 published state cost, via the CDC state table. The 51 published values sum to $249,026.3M.</t>
        </r>
      </text>
    </comment>
    <comment ref="B54" authorId="0">
      <text>
        <r>
          <rPr>
            <sz val="10"/>
            <rFont val="Arial"/>
            <family val="2"/>
          </rPr>
          <t xml:space="preserve">Sacks et al. 2015 published state cost, via the CDC state table. The 51 published values sum to $249,026.3M.</t>
        </r>
      </text>
    </comment>
    <comment ref="B55" authorId="0">
      <text>
        <r>
          <rPr>
            <sz val="10"/>
            <rFont val="Arial"/>
            <family val="2"/>
          </rPr>
          <t xml:space="preserve">Sacks et al. 2015 published state cost, via the CDC state table. The 51 published values sum to $249,026.3M.</t>
        </r>
      </text>
    </comment>
    <comment ref="B56" authorId="0">
      <text>
        <r>
          <rPr>
            <sz val="10"/>
            <rFont val="Arial"/>
            <family val="2"/>
          </rPr>
          <t xml:space="preserve">Sacks et al. 2015 published state cost, via the CDC state table. The 51 published values sum to $249,026.3M.</t>
        </r>
      </text>
    </comment>
    <comment ref="B57" authorId="0">
      <text>
        <r>
          <rPr>
            <sz val="10"/>
            <rFont val="Arial"/>
            <family val="2"/>
          </rPr>
          <t xml:space="preserve">Sacks et al. 2015 published state cost, via the CDC state table. The 51 published values sum to $249,026.3M.</t>
        </r>
      </text>
    </comment>
    <comment ref="B58" authorId="0">
      <text>
        <r>
          <rPr>
            <sz val="10"/>
            <rFont val="Arial"/>
            <family val="2"/>
          </rPr>
          <t xml:space="preserve">Sacks et al. 2015 published state cost, via the CDC state table. The 51 published values sum to $249,026.3M.</t>
        </r>
      </text>
    </comment>
    <comment ref="T5" authorId="0">
      <text>
        <r>
          <rPr>
            <sz val="10"/>
            <rFont val="Arial"/>
            <family val="2"/>
          </rPr>
          <t xml:space="preserve">Each state's published 2010 cost is grown by this factor. Preferred over allocating the 2021 total by 2021 burden share, because it preserves each state's actual published 2010 level.</t>
        </r>
      </text>
    </comment>
    <comment ref="T6" authorId="0">
      <text>
        <r>
          <rPr>
            <sz val="10"/>
            <rFont val="Arial"/>
            <family val="2"/>
          </rPr>
          <t xml:space="preserve">Normalizer. The 51 published state values sum to $249,026.3M against a national 2010 total of $249,026.5M (per-state publication rounding), so the grown values are rescaled to reconcile exactly to the national 2021 total.</t>
        </r>
      </text>
    </comment>
  </commentList>
</comments>
</file>

<file path=xl/comments17.xml><?xml version="1.0" encoding="utf-8"?>
<comments xmlns="http://schemas.openxmlformats.org/spreadsheetml/2006/main" xmlns:xdr="http://schemas.openxmlformats.org/drawingml/2006/spreadsheetDrawing">
  <authors>
    <author>Unknown Author</author>
  </authors>
  <commentList>
    <comment ref="L5" authorId="0">
      <text>
        <r>
          <rPr>
            <sz val="10"/>
            <rFont val="Arial"/>
            <family val="2"/>
          </rPr>
          <t xml:space="preserve">NATIONAL FALLBACK - no Iowa series available. N-SSATS 2010 Ch.5 (61% of 1,175,462; percentages published, count DERIVED); N-SUMHSS 2021 Table SU8. SAMHSA states these surveys are not comparable.</t>
        </r>
      </text>
    </comment>
    <comment ref="L6" authorId="0">
      <text>
        <r>
          <rPr>
            <sz val="10"/>
            <rFont val="Arial"/>
            <family val="2"/>
          </rPr>
          <t xml:space="preserve">Elasticity to Iowa alcohol-induced deaths, using the elasticity estimated on the observed national 2010-2015 window</t>
        </r>
      </text>
    </comment>
    <comment ref="L7" authorId="0">
      <text>
        <r>
          <rPr>
            <sz val="10"/>
            <rFont val="Arial"/>
            <family val="2"/>
          </rPr>
          <t xml:space="preserve">NSDUH state estimates: 7.78% of 12+ in 2010-2011 (count DERIVED from Iowa population 12+); 10.95% / 294,000 in 2021-2022. Crosses the DSM-IV/DSM-5 change AND the 2021 multimode change.</t>
        </r>
      </text>
    </comment>
    <comment ref="L8" authorId="0">
      <text>
        <r>
          <rPr>
            <sz val="10"/>
            <rFont val="Arial"/>
            <family val="2"/>
          </rPr>
          <t xml:space="preserve">NATIONAL FALLBACK - no Iowa series available. NCHS: 2012 (proxy for 2010) and 2020 (proxy for 2021). No survey in either target year.</t>
        </r>
      </text>
    </comment>
    <comment ref="L9" authorId="0">
      <text>
        <r>
          <rPr>
            <sz val="10"/>
            <rFont val="Arial"/>
            <family val="2"/>
          </rPr>
          <t xml:space="preserve">NSDUH state estimates: 7.78% of 12+ in 2010-2011 (count DERIVED from Iowa population 12+); 10.95% / 294,000 in 2021-2022. Crosses the DSM-IV/DSM-5 change AND the 2021 multimode change.</t>
        </r>
      </text>
    </comment>
    <comment ref="L10" authorId="0">
      <text>
        <r>
          <rPr>
            <sz val="10"/>
            <rFont val="Arial"/>
            <family val="2"/>
          </rPr>
          <t xml:space="preserve">NCHS NVSR 60-02 (2010 preliminary) and VSRR-020 (2021 provisional). Vintages differ; both are pre-final.</t>
        </r>
      </text>
    </comment>
    <comment ref="L11" authorId="0">
      <text>
        <r>
          <rPr>
            <sz val="10"/>
            <rFont val="Arial"/>
            <family val="2"/>
          </rPr>
          <t xml:space="preserve">NATIONAL FALLBACK - no Iowa series available. Actual-expenditure component</t>
        </r>
      </text>
    </comment>
    <comment ref="L12" authorId="0">
      <text>
        <r>
          <rPr>
            <sz val="10"/>
            <rFont val="Arial"/>
            <family val="2"/>
          </rPr>
          <t xml:space="preserve">NATIONAL FALLBACK - no Iowa series available. SOC 21-1011 merged into 21-1018 in 2018; no comparable employment pair exists. 1.20 is an assumption.</t>
        </r>
      </text>
    </comment>
    <comment ref="L13" authorId="0">
      <text>
        <r>
          <rPr>
            <sz val="10"/>
            <rFont val="Arial"/>
            <family val="2"/>
          </rPr>
          <t xml:space="preserve">Computed from Iowa components 1-6 growth</t>
        </r>
      </text>
    </comment>
    <comment ref="L14" authorId="0">
      <text>
        <r>
          <rPr>
            <sz val="10"/>
            <rFont val="Arial"/>
            <family val="2"/>
          </rPr>
          <t xml:space="preserve">NSDUH state estimates: 7.78% of 12+ in 2010-2011 (count DERIVED from Iowa population 12+); 10.95% / 294,000 in 2021-2022. Crosses the DSM-IV/DSM-5 change AND the 2021 multimode change.</t>
        </r>
      </text>
    </comment>
    <comment ref="L15" authorId="0">
      <text>
        <r>
          <rPr>
            <sz val="10"/>
            <rFont val="Arial"/>
            <family val="2"/>
          </rPr>
          <t xml:space="preserve">NSDUH state estimates: 7.78% of 12+ in 2010-2011 (count DERIVED from Iowa population 12+); 10.95% / 294,000 in 2021-2022. Crosses the DSM-IV/DSM-5 change AND the 2021 multimode change.</t>
        </r>
      </text>
    </comment>
    <comment ref="L16" authorId="0">
      <text>
        <r>
          <rPr>
            <sz val="10"/>
            <rFont val="Arial"/>
            <family val="2"/>
          </rPr>
          <t xml:space="preserve">NSDUH state estimates, percent of 12+. Iowa runs well above the national rate in both years (national 23.1% to 21.5%).</t>
        </r>
      </text>
    </comment>
    <comment ref="L17" authorId="0">
      <text>
        <r>
          <rPr>
            <sz val="10"/>
            <rFont val="Arial"/>
            <family val="2"/>
          </rPr>
          <t xml:space="preserve">NATIONAL FALLBACK - no Iowa series available. N-SSATS 2010 Ch.5 (61% of 1,175,462; percentages published, count DERIVED); N-SUMHSS 2021 Table SU8. SAMHSA states these surveys are not comparable.</t>
        </r>
      </text>
    </comment>
    <comment ref="L18" authorId="0">
      <text>
        <r>
          <rPr>
            <sz val="10"/>
            <rFont val="Arial"/>
            <family val="2"/>
          </rPr>
          <t xml:space="preserve">Elasticity to Iowa alcohol-induced deaths, using the elasticity estimated on the observed national 2010-2015 window</t>
        </r>
      </text>
    </comment>
    <comment ref="L19" authorId="0">
      <text>
        <r>
          <rPr>
            <sz val="10"/>
            <rFont val="Arial"/>
            <family val="2"/>
          </rPr>
          <t xml:space="preserve">CDC MMWR 69(39) for 2011-2015; ARDI 2020-2021 via secondary source. PERIOD MISMATCH: the Iowa baseline is 2011-2015, not 2006-2010, plus the same three ARDI method breaks as the national model.</t>
        </r>
      </text>
    </comment>
    <comment ref="L20" authorId="0">
      <text>
        <r>
          <rPr>
            <sz val="10"/>
            <rFont val="Arial"/>
            <family val="2"/>
          </rPr>
          <t xml:space="preserve">BJS Prisoners in 2010 and Prisoners in 2021. Iowa's decline (-9.4%) was far shallower than the national fall in total incarceration (-21.7%).</t>
        </r>
      </text>
    </comment>
    <comment ref="L21" authorId="0">
      <text>
        <r>
          <rPr>
            <sz val="10"/>
            <rFont val="Arial"/>
            <family val="2"/>
          </rPr>
          <t xml:space="preserve">NATIONAL FALLBACK - no Iowa series available. BJS Criminal Victimization 2010 and 2021</t>
        </r>
      </text>
    </comment>
    <comment ref="L22" authorId="0">
      <text>
        <r>
          <rPr>
            <sz val="10"/>
            <rFont val="Arial"/>
            <family val="2"/>
          </rPr>
          <t xml:space="preserve">NCHS NVSR 60-02 (2010 preliminary) and VSRR-020 (2021 provisional). Vintages differ; both are pre-final.</t>
        </r>
      </text>
    </comment>
    <comment ref="L23" authorId="0">
      <text>
        <r>
          <rPr>
            <sz val="10"/>
            <rFont val="Arial"/>
            <family val="2"/>
          </rPr>
          <t xml:space="preserve">NATIONAL FALLBACK - no Iowa series available. BJS CV2010/CV2021 rates x CPS household counts</t>
        </r>
      </text>
    </comment>
    <comment ref="L24" authorId="0">
      <text>
        <r>
          <rPr>
            <sz val="10"/>
            <rFont val="Arial"/>
            <family val="2"/>
          </rPr>
          <t xml:space="preserve">BJS Prisoners in 2010 and Prisoners in 2021. Iowa's decline (-9.4%) was far shallower than the national fall in total incarceration (-21.7%).</t>
        </r>
      </text>
    </comment>
    <comment ref="L25" authorId="0">
      <text>
        <r>
          <rPr>
            <sz val="10"/>
            <rFont val="Arial"/>
            <family val="2"/>
          </rPr>
          <t xml:space="preserve">NATIONAL FALLBACK - no Iowa series available. FBI CIUS 2010 T29; FBI CIUS 2019 T29 used as the modern endpoint. NO 2021 NATIONAL ARREST ESTIMATE EXISTS (NIBRS transition, 65.7% population coverage).</t>
        </r>
      </text>
    </comment>
    <comment ref="L26" authorId="0">
      <text>
        <r>
          <rPr>
            <sz val="10"/>
            <rFont val="Arial"/>
            <family val="2"/>
          </rPr>
          <t xml:space="preserve">FBI CIUS 2010 (violent 8,333; property 68,315) and Iowa LSA 2021 rates via FBI CDE. TWO official Iowa LSA documents publish CONFLICTING 2021 rates; the midpoint is used and the spread is carried in the scenario range.</t>
        </r>
      </text>
    </comment>
    <comment ref="L27" authorId="0">
      <text>
        <r>
          <rPr>
            <sz val="10"/>
            <rFont val="Arial"/>
            <family val="2"/>
          </rPr>
          <t xml:space="preserve">FBI CIUS 2010 (violent 8,333; property 68,315) and Iowa LSA 2021 rates via FBI CDE. TWO official Iowa LSA documents publish CONFLICTING 2021 rates; the midpoint is used and the spread is carried in the scenario range.</t>
        </r>
      </text>
    </comment>
    <comment ref="L28" authorId="0">
      <text>
        <r>
          <rPr>
            <sz val="10"/>
            <rFont val="Arial"/>
            <family val="2"/>
          </rPr>
          <t xml:space="preserve">NATIONAL FALLBACK - no Iowa series available. NHTSA crash cost reports, Tables 7-4/7-5. 2021 endpoint is 2019 data - no 2021 edition exists.</t>
        </r>
      </text>
    </comment>
    <comment ref="L29" authorId="0">
      <text>
        <r>
          <rPr>
            <sz val="10"/>
            <rFont val="Arial"/>
            <family val="2"/>
          </rPr>
          <t xml:space="preserve">NATIONAL FALLBACK - no Iowa series available. NFPA Fire Loss in the United States</t>
        </r>
      </text>
    </comment>
    <comment ref="L30" authorId="0">
      <text>
        <r>
          <rPr>
            <sz val="10"/>
            <rFont val="Arial"/>
            <family val="2"/>
          </rPr>
          <t xml:space="preserve">NCHS NVSR 60-02 (2010 preliminary) and VSRR-020 (2021 provisional). Vintages differ; both are pre-final.</t>
        </r>
      </text>
    </comment>
  </commentList>
</comments>
</file>

<file path=xl/comments3.xml><?xml version="1.0" encoding="utf-8"?>
<comments xmlns="http://schemas.openxmlformats.org/spreadsheetml/2006/main" xmlns:xdr="http://schemas.openxmlformats.org/drawingml/2006/spreadsheetDrawing">
  <authors>
    <author>Unknown Author</author>
  </authors>
  <commentList>
    <comment ref="F36" authorId="0">
      <text>
        <r>
          <rPr>
            <sz val="10"/>
            <rFont val="Arial"/>
            <family val="2"/>
          </rPr>
          <t xml:space="preserve">+0.1 is a PUBLICATION ROUNDING ARTIFACT, not a model error. The 26 published component values are each rounded to one decimal; their exact sum is 249,026.5.</t>
        </r>
      </text>
    </comment>
  </commentList>
</comments>
</file>

<file path=xl/comments6.xml><?xml version="1.0" encoding="utf-8"?>
<comments xmlns="http://schemas.openxmlformats.org/spreadsheetml/2006/main" xmlns:xdr="http://schemas.openxmlformats.org/drawingml/2006/spreadsheetDrawing">
  <authors>
    <author>Unknown Author</author>
  </authors>
  <commentList>
    <comment ref="B5" authorId="0">
      <text>
        <r>
          <rPr>
            <sz val="10"/>
            <rFont val="Arial"/>
            <family val="2"/>
          </rPr>
          <t xml:space="preserve">N-SSATS/N-SUMHSS redesign; SAMHSA states the two surveys are not statistically comparable. Grade D.</t>
        </r>
      </text>
    </comment>
    <comment ref="B6" authorId="0">
      <text>
        <r>
          <rPr>
            <sz val="10"/>
            <rFont val="Arial"/>
            <family val="2"/>
          </rPr>
          <t xml:space="preserve">No published 2021 national alcohol-hospitalization count exists. ICD-9/ICD-10 transition breaks the series.</t>
        </r>
      </text>
    </comment>
    <comment ref="B7" authorId="0">
      <text>
        <r>
          <rPr>
            <sz val="10"/>
            <rFont val="Arial"/>
            <family val="2"/>
          </rPr>
          <t xml:space="preserve">No comparable alcohol-attributable ambulatory-visit series. AUD prevalence used as the utilization driver.</t>
        </r>
      </text>
    </comment>
    <comment ref="B8" authorId="0">
      <text>
        <r>
          <rPr>
            <sz val="10"/>
            <rFont val="Arial"/>
            <family val="2"/>
          </rPr>
          <t xml:space="preserve">2012 and 2020 used as proxies; no NCHS survey in either target year. 2020 residents are COVID-depressed.</t>
        </r>
      </text>
    </comment>
    <comment ref="B9" authorId="0">
      <text>
        <r>
          <rPr>
            <sz val="10"/>
            <rFont val="Arial"/>
            <family val="2"/>
          </rPr>
          <t xml:space="preserve">Medical-care CPI used as the price. Total NHEA prescription spending would double-count volume, which the incidence factor already carries. No prescription-drug CPI series was retrievable for either endpoint.</t>
        </r>
      </text>
    </comment>
    <comment ref="B10" authorId="0">
      <text>
        <r>
          <rPr>
            <sz val="10"/>
            <rFont val="Arial"/>
            <family val="2"/>
          </rPr>
          <t xml:space="preserve">Track B preserves the published 1-per-1,000 FAS assumption. Track C scales by prenatal drinking.</t>
        </r>
      </text>
    </comment>
    <comment ref="B11" authorId="0">
      <text>
        <r>
          <rPr>
            <sz val="10"/>
            <rFont val="Arial"/>
            <family val="2"/>
          </rPr>
          <t xml:space="preserve">Uses actual nominal spending per brief section 7. NIAAA appropriation grew 20.0%, below CPI-U (24.3%) - real federal alcohol research funding FELL over the window.</t>
        </r>
      </text>
    </comment>
    <comment ref="B12" authorId="0">
      <text>
        <r>
          <rPr>
            <sz val="10"/>
            <rFont val="Arial"/>
            <family val="2"/>
          </rPr>
          <t xml:space="preserve">Smallest component ($34.8M). Grade D assumption; immaterial to the total.</t>
        </r>
      </text>
    </comment>
    <comment ref="B13" authorId="0">
      <text>
        <r>
          <rPr>
            <sz val="10"/>
            <rFont val="Arial"/>
            <family val="2"/>
          </rPr>
          <t xml:space="preserve">Incidence set endogenously in solve() to the weighted growth of alcohol-attributable healthcare spending. Price is the ADMIN LOAD (1.0166), not total admin expenditure growth (1.6678).</t>
        </r>
      </text>
    </comment>
    <comment ref="B14" authorId="0">
      <text>
        <r>
          <rPr>
            <sz val="10"/>
            <rFont val="Arial"/>
            <family val="2"/>
          </rPr>
          <t xml:space="preserve">LARGEST COMPONENT. Driver crosses the DSM-IV/DSM-5 break AND the 2021 NSDUH multimode break. Track C removes the documented DSM effect (factor 1.1486).</t>
        </r>
      </text>
    </comment>
    <comment ref="B16" authorId="0">
      <text>
        <r>
          <rPr>
            <sz val="10"/>
            <rFont val="Arial"/>
            <family val="2"/>
          </rPr>
          <t xml:space="preserve">BRFSS total-binge-drinks series (the better driver) stops at 2017. NSDUH binge count used instead.</t>
        </r>
      </text>
    </comment>
    <comment ref="B19" authorId="0">
      <text>
        <r>
          <rPr>
            <sz val="10"/>
            <rFont val="Arial"/>
            <family val="2"/>
          </rPr>
          <t xml:space="preserve">SECOND-LARGEST COMPONENT AND THE MODEL'S BIGGEST UNCERTAINTY. Track B uses the strict ARDI YPLL endpoints despite CDC's explicit warning. Track C uses a bridged estimate built from the method-consistent ARDI window plus the stable alcohol-induced series. Human-capital valuation retained as headline; VSL run separately.</t>
        </r>
      </text>
    </comment>
    <comment ref="B20" authorId="0">
      <text>
        <r>
          <rPr>
            <sz val="10"/>
            <rFont val="Arial"/>
            <family val="2"/>
          </rPr>
          <t xml:space="preserve">2021 incarceration is COVID-depressed (jails -13% vs 2019). Sensitivity uses 2019.</t>
        </r>
      </text>
    </comment>
    <comment ref="B21" authorId="0">
      <text>
        <r>
          <rPr>
            <sz val="10"/>
            <rFont val="Arial"/>
            <family val="2"/>
          </rPr>
          <t xml:space="preserve">2021 NCVS violence is a pandemic trough; 2022 was 6.6M vs 4.6M in 2021.</t>
        </r>
      </text>
    </comment>
    <comment ref="B24" authorId="0">
      <text>
        <r>
          <rPr>
            <sz val="10"/>
            <rFont val="Arial"/>
            <family val="2"/>
          </rPr>
          <t xml:space="preserve">Decomposed so incidence x price = observed total corrections expenditure growth (1.2554).</t>
        </r>
      </text>
    </comment>
    <comment ref="B25" authorId="0">
      <text>
        <r>
          <rPr>
            <sz val="10"/>
            <rFont val="Arial"/>
            <family val="2"/>
          </rPr>
          <t xml:space="preserve">ESCALATION ITEM. FBI published NO 2021 national arrest estimate. 2019 substituted; endpoint year differs from the rest of the model.</t>
        </r>
      </text>
    </comment>
    <comment ref="B28" authorId="0">
      <text>
        <r>
          <rPr>
            <sz val="10"/>
            <rFont val="Arial"/>
            <family val="2"/>
          </rPr>
          <t xml:space="preserve">SCOPE: components 19-26 sum exactly to the published 'Other costs' total, which means crash MEDICAL and PRODUCTIVITY costs are already counted in components 1-6 and 10-18. Component 24 is therefore property damage, travel delay, insurance administration and legal cost. Its driver is crash VOLUME, not fatalities, and its price is a general price index, not NHTSA total economic cost per crash (which is dominated by medical and productivity costs priced elsewhere in this model). The fatality-driven alternative is reported in scenarios. Government share held at zero per the 2010 appendix.</t>
        </r>
      </text>
    </comment>
  </commentList>
</comments>
</file>

<file path=xl/comments9.xml><?xml version="1.0" encoding="utf-8"?>
<comments xmlns="http://schemas.openxmlformats.org/spreadsheetml/2006/main" xmlns:xdr="http://schemas.openxmlformats.org/drawingml/2006/spreadsheetDrawing">
  <authors>
    <author>Unknown Author</author>
  </authors>
  <commentList>
    <comment ref="D12" authorId="0">
      <text>
        <r>
          <rPr>
            <sz val="10"/>
            <rFont val="Arial"/>
            <family val="2"/>
          </rPr>
          <t xml:space="preserve">This cell exists only to demonstrate the error. This figure is meaningless and must never be published.</t>
        </r>
      </text>
    </comment>
  </commentList>
</comments>
</file>

<file path=xl/sharedStrings.xml><?xml version="1.0" encoding="utf-8"?>
<sst xmlns="http://schemas.openxmlformats.org/spreadsheetml/2006/main" count="1649" uniqueCount="833">
  <si>
    <t xml:space="preserve">IORTI — Economic Cost of Excessive Alcohol Consumption</t>
  </si>
  <si>
    <t xml:space="preserve">An independent update of the framework used in the CDC-supported 2010 estimate. NOT a CDC estimate.</t>
  </si>
  <si>
    <t xml:space="preserve">Model version</t>
  </si>
  <si>
    <t xml:space="preserve">1.0</t>
  </si>
  <si>
    <t xml:space="preserve">Base year</t>
  </si>
  <si>
    <t xml:space="preserve">2010 (Sacks et al. 2015, 26-component framework)</t>
  </si>
  <si>
    <t xml:space="preserve">Target year</t>
  </si>
  <si>
    <t xml:space="preserve">2021 (calendar)</t>
  </si>
  <si>
    <t xml:space="preserve">Dollar convention</t>
  </si>
  <si>
    <t xml:space="preserve">Nominal 2021 dollars unless a cell says otherwise</t>
  </si>
  <si>
    <t xml:space="preserve">Perspective</t>
  </si>
  <si>
    <t xml:space="preserve">Societal cost of illness</t>
  </si>
  <si>
    <t xml:space="preserve">Geography</t>
  </si>
  <si>
    <t xml:space="preserve">United States, 50 states + District of Columbia</t>
  </si>
  <si>
    <t xml:space="preserve">Mortality valuation</t>
  </si>
  <si>
    <t xml:space="preserve">Human capital (headline). VSL reported ONLY as a separate scenario on 11_SENSITIVITY.</t>
  </si>
  <si>
    <t xml:space="preserve">HEADLINE RESULT — Track B (strict update)</t>
  </si>
  <si>
    <t xml:space="preserve">$473.6 billion</t>
  </si>
  <si>
    <t xml:space="preserve">HEADLINE RESULT — Track C (modernized central)</t>
  </si>
  <si>
    <t xml:space="preserve">$420.2 billion</t>
  </si>
  <si>
    <t xml:space="preserve">Scenario range</t>
  </si>
  <si>
    <t xml:space="preserve">$376.7B (low) to $539.4B (high)</t>
  </si>
  <si>
    <t xml:space="preserve">Government cost</t>
  </si>
  <si>
    <t xml:space="preserve">$198.3 billion (41.9% of total)</t>
  </si>
  <si>
    <t xml:space="preserve">Cost per resident</t>
  </si>
  <si>
    <t xml:space="preserve">$1,427</t>
  </si>
  <si>
    <t xml:space="preserve">Cost per standard drink</t>
  </si>
  <si>
    <t xml:space="preserve">$3.17</t>
  </si>
  <si>
    <t xml:space="preserve">How to run</t>
  </si>
  <si>
    <t xml:space="preserve">python src/run.py  →  writes out/results.json; python src/build_workbook.py  →  writes this file. No output value in this workbook is pasted by hand.</t>
  </si>
  <si>
    <t xml:space="preserve">Tab guide</t>
  </si>
  <si>
    <t xml:space="preserve">02 is the unit test. 04/05 hold both endpoints of every factor. 06 multiplies them. 07 allocates government cost line by line. 12 is the acceptance-test register.</t>
  </si>
  <si>
    <t xml:space="preserve">REQUIRED PUBLICATION LANGUAGE</t>
  </si>
  <si>
    <t xml:space="preserve">We independently updated the cost framework used in the CDC-supported 2010 estimate using 2021 inputs. Do NOT write "CDC estimates that the current cost is..." — CDC has neither published nor endorsed this number.</t>
  </si>
  <si>
    <t xml:space="preserve">TOP THREE ESCALATION ITEMS (brief §17)</t>
  </si>
  <si>
    <t xml:space="preserve">1. Premature mortality. CDC explicitly forbids comparing current ARDI output with the 2006-2010 release. Track B uses it anyway (strict replication); Track C substitutes a bridged estimate. The two differ by $53.4B at the total level.</t>
  </si>
  <si>
    <t xml:space="preserve">2. Alcohol use disorder prevalence drives the single largest component. The 2010→2021 ratio crosses the DSM-IV→DSM-5 change, the 2021 NSDUH multimode change, and a fall to a 10.3% overall response rate. These cannot be separated with published data.</t>
  </si>
  <si>
    <t xml:space="preserve">3. The FBI published NO national arrest estimate for 2021. Component 21 uses 2019 as its modern endpoint, so that line has a different target year from the rest of the model.</t>
  </si>
  <si>
    <t xml:space="preserve">01 — Parameters and scenario switches</t>
  </si>
  <si>
    <t xml:space="preserve">Blue = hardcoded input. Black = calculated. Yellow = key assumption.</t>
  </si>
  <si>
    <t xml:space="preserve">Parameter</t>
  </si>
  <si>
    <t xml:space="preserve">Value</t>
  </si>
  <si>
    <t xml:space="preserve">Unit</t>
  </si>
  <si>
    <t xml:space="preserve">Source / note</t>
  </si>
  <si>
    <t xml:space="preserve">Resident population, April 1 2010</t>
  </si>
  <si>
    <t xml:space="preserve">persons</t>
  </si>
  <si>
    <t xml:space="preserve">US Census 2010 (the denominator that reproduces $807)</t>
  </si>
  <si>
    <t xml:space="preserve">Resident population, July 1 2010</t>
  </si>
  <si>
    <t xml:space="preserve">Census NST-EST2020 (sensitivity)</t>
  </si>
  <si>
    <t xml:space="preserve">Resident population, July 1 2021</t>
  </si>
  <si>
    <t xml:space="preserve">Census Vintage 2021</t>
  </si>
  <si>
    <t xml:space="preserve">Per-capita ethanol 2010, ages 14+</t>
  </si>
  <si>
    <t xml:space="preserve">gallons</t>
  </si>
  <si>
    <t xml:space="preserve">NIAAA Surveillance Report #122, Table 1</t>
  </si>
  <si>
    <t xml:space="preserve">Per-capita ethanol 2021, ages 14+</t>
  </si>
  <si>
    <t xml:space="preserve">Population 14+ share, 2010</t>
  </si>
  <si>
    <t xml:space="preserve">share</t>
  </si>
  <si>
    <t xml:space="preserve">DERIVED: back-solved from the published $2.05/drink, then validated</t>
  </si>
  <si>
    <t xml:space="preserve">Population 14+ share, 2021</t>
  </si>
  <si>
    <t xml:space="preserve">DERIVED: interpolated to the 2023 share implied by NIAAA Table 2</t>
  </si>
  <si>
    <t xml:space="preserve">Ethanol specific gravity</t>
  </si>
  <si>
    <t xml:space="preserve">ratio</t>
  </si>
  <si>
    <t xml:space="preserve">Brief §9 conversion constant</t>
  </si>
  <si>
    <t xml:space="preserve">Pounds per gallon</t>
  </si>
  <si>
    <t xml:space="preserve">lb/gal</t>
  </si>
  <si>
    <t xml:space="preserve">Grams per pound</t>
  </si>
  <si>
    <t xml:space="preserve">g/lb</t>
  </si>
  <si>
    <t xml:space="preserve">Grams per standard drink</t>
  </si>
  <si>
    <t xml:space="preserve">g</t>
  </si>
  <si>
    <t xml:space="preserve">US standard drink = 14 g ethanol</t>
  </si>
  <si>
    <t xml:space="preserve">Public share of health spending 2010</t>
  </si>
  <si>
    <t xml:space="preserve">CMS NHEA source of funds</t>
  </si>
  <si>
    <t xml:space="preserve">Public share of health spending 2021</t>
  </si>
  <si>
    <t xml:space="preserve">Gov receipts / national income 2010</t>
  </si>
  <si>
    <t xml:space="preserve">BEA NIPA</t>
  </si>
  <si>
    <t xml:space="preserve">Gov receipts / national income 2021</t>
  </si>
  <si>
    <t xml:space="preserve">Productivity gov share 2010 (CALIBRATED)</t>
  </si>
  <si>
    <t xml:space="preserve">Solved so the 2010 government total reproduces $100,674.8M exactly. Validated against BEA receipts/NI of 30.74%.</t>
  </si>
  <si>
    <t xml:space="preserve">Productivity gov share 2021</t>
  </si>
  <si>
    <t xml:space="preserve">2010 calibration scaled by the change in BEA receipts/NI</t>
  </si>
  <si>
    <t xml:space="preserve">VSL, 2021 (scenario only)</t>
  </si>
  <si>
    <t xml:space="preserve">$</t>
  </si>
  <si>
    <t xml:space="preserve">US DOT 2021 guidance. Used ONLY in the separate VSL scenario.</t>
  </si>
  <si>
    <t xml:space="preserve">DSM-IV→DSM-5 inflation factor</t>
  </si>
  <si>
    <t xml:space="preserve">SAMHSA NBK519702: 7.4% → 8.5% on pooled NSDUH data</t>
  </si>
  <si>
    <t xml:space="preserve">Hospitalization elasticity</t>
  </si>
  <si>
    <t xml:space="preserve">Estimated on the observed 2010-2015 window</t>
  </si>
  <si>
    <t xml:space="preserve">Mortality bridge elasticity</t>
  </si>
  <si>
    <t xml:space="preserve">Broad AAD vs alcohol-induced deaths, method-consistent window</t>
  </si>
  <si>
    <t xml:space="preserve">02 — Published 2010 baseline (Track A unit test)</t>
  </si>
  <si>
    <t xml:space="preserve">Transcribed from Sacks et al. 2015. THIS TAB IS THE MODEL'S UNIT TEST — do not proceed to public results until every check is green.</t>
  </si>
  <si>
    <t xml:space="preserve">#</t>
  </si>
  <si>
    <t xml:space="preserve">Component</t>
  </si>
  <si>
    <t xml:space="preserve">Category</t>
  </si>
  <si>
    <t xml:space="preserve">2010 cost ($M)</t>
  </si>
  <si>
    <t xml:space="preserve">Specialty care for abuse/dependence</t>
  </si>
  <si>
    <t xml:space="preserve">Healthcare</t>
  </si>
  <si>
    <t xml:space="preserve">Hospitalization</t>
  </si>
  <si>
    <t xml:space="preserve">Ambulatory care</t>
  </si>
  <si>
    <t xml:space="preserve">Nursing home</t>
  </si>
  <si>
    <t xml:space="preserve">Drugs and other services</t>
  </si>
  <si>
    <t xml:space="preserve">FAS healthcare</t>
  </si>
  <si>
    <t xml:space="preserve">Prevention and research</t>
  </si>
  <si>
    <t xml:space="preserve">Training</t>
  </si>
  <si>
    <t xml:space="preserve">Health insurance administration</t>
  </si>
  <si>
    <t xml:space="preserve">Impaired productivity at work</t>
  </si>
  <si>
    <t xml:space="preserve">Lost productivity</t>
  </si>
  <si>
    <t xml:space="preserve">Impaired productivity at home</t>
  </si>
  <si>
    <t xml:space="preserve">Absenteeism</t>
  </si>
  <si>
    <t xml:space="preserve">Productivity while in specialty care</t>
  </si>
  <si>
    <t xml:space="preserve">Productivity while hospitalized</t>
  </si>
  <si>
    <t xml:space="preserve">Premature mortality</t>
  </si>
  <si>
    <t xml:space="preserve">Incarceration of perpetrators</t>
  </si>
  <si>
    <t xml:space="preserve">Crime victims</t>
  </si>
  <si>
    <t xml:space="preserve">FAS productivity</t>
  </si>
  <si>
    <t xml:space="preserve">Crime-victim property damage</t>
  </si>
  <si>
    <t xml:space="preserve">Other</t>
  </si>
  <si>
    <t xml:space="preserve">Criminal justice - corrections</t>
  </si>
  <si>
    <t xml:space="preserve">Criminal justice - alcohol crimes</t>
  </si>
  <si>
    <t xml:space="preserve">Criminal justice - violent/property crime</t>
  </si>
  <si>
    <t xml:space="preserve">Criminal justice - private legal</t>
  </si>
  <si>
    <t xml:space="preserve">Motor-vehicle crashes</t>
  </si>
  <si>
    <t xml:space="preserve">Fire losses</t>
  </si>
  <si>
    <t xml:space="preserve">FAS special education</t>
  </si>
  <si>
    <t xml:space="preserve">RECONCILIATION</t>
  </si>
  <si>
    <t xml:space="preserve">Computed</t>
  </si>
  <si>
    <t xml:space="preserve">Published</t>
  </si>
  <si>
    <t xml:space="preserve">Delta</t>
  </si>
  <si>
    <t xml:space="preserve">Healthcare subtotal</t>
  </si>
  <si>
    <t xml:space="preserve">Lost productivity subtotal</t>
  </si>
  <si>
    <t xml:space="preserve">Other costs subtotal</t>
  </si>
  <si>
    <t xml:space="preserve">GRAND TOTAL</t>
  </si>
  <si>
    <t xml:space="preserve">Published government cost ($M)</t>
  </si>
  <si>
    <t xml:space="preserve">Government share of total</t>
  </si>
  <si>
    <t xml:space="preserve">Cost per resident (2010 Census pop)</t>
  </si>
  <si>
    <t xml:space="preserve">Published per resident</t>
  </si>
  <si>
    <t xml:space="preserve">04 — Incidence factors (both endpoints)</t>
  </si>
  <si>
    <t xml:space="preserve">Every ratio stores BOTH endpoint values, never a bare ratio.</t>
  </si>
  <si>
    <t xml:space="preserve">Driver / series</t>
  </si>
  <si>
    <t xml:space="preserve">2010 value</t>
  </si>
  <si>
    <t xml:space="preserve">2021 value</t>
  </si>
  <si>
    <t xml:space="preserve">Factor</t>
  </si>
  <si>
    <t xml:space="preserve">Grade</t>
  </si>
  <si>
    <t xml:space="preserve">Source and comparability note</t>
  </si>
  <si>
    <t xml:space="preserve">Specialty SU treatment clients with any alcohol problem</t>
  </si>
  <si>
    <t xml:space="preserve">D</t>
  </si>
  <si>
    <t xml:space="preserve">N-SSATS 2010 Ch.5 (61% of 1,175,462; percentages published, count DERIVED); N-SUMHSS 2021 Table SU8. SAMHSA states these surveys are not comparable.</t>
  </si>
  <si>
    <t xml:space="preserve">Alcohol-related inpatient stays (any-listed dx)</t>
  </si>
  <si>
    <t xml:space="preserve">C</t>
  </si>
  <si>
    <t xml:space="preserve">NIAAA SR#112 observed 2010-2015; 2015-2021 extrapolated by elasticity to alcohol-induced deaths (see model.py)</t>
  </si>
  <si>
    <t xml:space="preserve">NSDUH alcohol use disorder, ages 12+</t>
  </si>
  <si>
    <t xml:space="preserve">2010 DT 5.1A (DSM-IV abuse or dependence); 2021 DT 5.1A (DSM-5 AUD). DSM break + 2021 multimode break + 10.3% overall response rate.</t>
  </si>
  <si>
    <t xml:space="preserve">Nursing facility residents</t>
  </si>
  <si>
    <t xml:space="preserve">NCHS: 2012 (proxy for 2010) and 2020 (proxy for 2021). No survey in either target year.</t>
  </si>
  <si>
    <t xml:space="preserve">Alcohol-attributable service utilization (AUD prevalence)</t>
  </si>
  <si>
    <t xml:space="preserve">NSDUH 2010 and 2021 detailed tables</t>
  </si>
  <si>
    <t xml:space="preserve">Live births (FAS rate per birth held constant)</t>
  </si>
  <si>
    <t xml:space="preserve">A</t>
  </si>
  <si>
    <t xml:space="preserve">NCHS NVSR 74(11)</t>
  </si>
  <si>
    <t xml:space="preserve">Observed federal alcohol research appropriation</t>
  </si>
  <si>
    <t xml:space="preserve">B</t>
  </si>
  <si>
    <t xml:space="preserve">Actual-expenditure component</t>
  </si>
  <si>
    <t xml:space="preserve">Substance-use counselor workforce</t>
  </si>
  <si>
    <t xml:space="preserve">SOC 21-1011 merged into 21-1018 in 2018; no comparable employment pair exists. 1.20 is an assumption.</t>
  </si>
  <si>
    <t xml:space="preserve">Alcohol-attributable healthcare spending (components 1-6, endogenous)</t>
  </si>
  <si>
    <t xml:space="preserve">Computed from components 1-6 growth</t>
  </si>
  <si>
    <t xml:space="preserve">NSDUH past-month binge alcohol use, ages 12+</t>
  </si>
  <si>
    <t xml:space="preserve">2010 DT 2.1A; 2021 DT 2.1A. Female threshold changed 5+ to 4+ drinks in 2015; 2021 multimode break.</t>
  </si>
  <si>
    <t xml:space="preserve">Alcohol-related inpatient stays</t>
  </si>
  <si>
    <t xml:space="preserve">See component 2</t>
  </si>
  <si>
    <t xml:space="preserve">CDC ARDI years of potential life lost, annual avg</t>
  </si>
  <si>
    <t xml:space="preserve">Stahre 2014; CDC facts page ('about 4 million'). Numerator is CDC-rounded; three method breaks.</t>
  </si>
  <si>
    <t xml:space="preserve">Total incarcerated population (prison + jail)</t>
  </si>
  <si>
    <t xml:space="preserve">BJS Correctional Populations 2010 and 2021</t>
  </si>
  <si>
    <t xml:space="preserve">NCVS violent victimizations, age 12+</t>
  </si>
  <si>
    <t xml:space="preserve">BJS Criminal Victimization 2010 and 2021</t>
  </si>
  <si>
    <t xml:space="preserve">NCVS property victimizations (rate x households)</t>
  </si>
  <si>
    <t xml:space="preserve">BJS CV2010/CV2021 rates x CPS household counts</t>
  </si>
  <si>
    <t xml:space="preserve">DUI + drunkenness + liquor-law arrests</t>
  </si>
  <si>
    <t xml:space="preserve">FBI CIUS 2010 T29; FBI CIUS 2019 T29 used as the modern endpoint. NO 2021 NATIONAL ARREST ESTIMATE EXISTS (NIBRS transition, 65.7% population coverage).</t>
  </si>
  <si>
    <t xml:space="preserve">Blended violent (60%) + property (40%) offences</t>
  </si>
  <si>
    <t xml:space="preserve">FBI CIUS 2010; 2021 NIBRS-transition estimates</t>
  </si>
  <si>
    <t xml:space="preserve">Blended violent + property cases</t>
  </si>
  <si>
    <t xml:space="preserve">Alcohol-involved non-fatal crash injuries</t>
  </si>
  <si>
    <t xml:space="preserve">NHTSA crash cost reports, Tables 7-4/7-5. 2021 endpoint is 2019 data - no 2021 edition exists.</t>
  </si>
  <si>
    <t xml:space="preserve">Total US fires</t>
  </si>
  <si>
    <t xml:space="preserve">NFPA Fire Loss in the United States</t>
  </si>
  <si>
    <t xml:space="preserve">Grade key: A = directly observed and comparable · B = observed with manageable adjustment · C = proxy or series break · D = literature assumption or weakly comparable</t>
  </si>
  <si>
    <t xml:space="preserve">05 — Price and valuation factors (both endpoints)</t>
  </si>
  <si>
    <t xml:space="preserve">Component-specific price concepts used wherever available; general CPI only where nothing better exists.</t>
  </si>
  <si>
    <t xml:space="preserve">CPI Medical Care, annual avg (1982-84=100)</t>
  </si>
  <si>
    <t xml:space="preserve">BLS CUUR0000SAM, annual avg of 12 NSA monthlies</t>
  </si>
  <si>
    <t xml:space="preserve">Nursing-facility spending per resident</t>
  </si>
  <si>
    <t xml:space="preserve">NHEA nursing spending divided by the resident count, so incidence x price returns observed total nursing expenditure growth without double-counting volume</t>
  </si>
  <si>
    <t xml:space="preserve">NIAAA appropriation, nominal</t>
  </si>
  <si>
    <t xml:space="preserve">NIH Office of Budget, Appropriations History by IC</t>
  </si>
  <si>
    <t xml:space="preserve">ECEC total compensation per hour, civilian, December</t>
  </si>
  <si>
    <t xml:space="preserve">BLS ECEC Dec 2010 &amp; Dec 2021 news releases</t>
  </si>
  <si>
    <t xml:space="preserve">Administrative load per dollar of health spending</t>
  </si>
  <si>
    <t xml:space="preserve">NHEA administration + net cost of insurance DIVIDED BY total NHEA, so the price factor is the administrative load only. Using total admin spending would double-count the growth in health spending that the incidence factor already carries.</t>
  </si>
  <si>
    <t xml:space="preserve">CPI-U All Items, annual avg (1982-84=100)</t>
  </si>
  <si>
    <t xml:space="preserve">BLS Historical CPI-U supplemental file</t>
  </si>
  <si>
    <t xml:space="preserve">Corrections expenditure per incarcerated person</t>
  </si>
  <si>
    <t xml:space="preserve">BEA S&amp;L prisons expenditure ratio divided by population ratio; product reproduces total corrections expenditure growth</t>
  </si>
  <si>
    <t xml:space="preserve">Blended police + judicial expenditure per arrest</t>
  </si>
  <si>
    <t xml:space="preserve">BEA S&amp;L police (60%) and law courts (40%) expenditure, per arrest</t>
  </si>
  <si>
    <t xml:space="preserve">Blended police + judicial expenditure per offence</t>
  </si>
  <si>
    <t xml:space="preserve">BEA S&amp;L police and law courts expenditure, per offence</t>
  </si>
  <si>
    <t xml:space="preserve">PPI Offices of Lawyers (Dec 1996=100), annual avg</t>
  </si>
  <si>
    <t xml:space="preserve">BLS PCU541110541110 via FRED</t>
  </si>
  <si>
    <t xml:space="preserve">Fire-protection expenditure per fire</t>
  </si>
  <si>
    <t xml:space="preserve">BEA S&amp;L fire expenditure per fire</t>
  </si>
  <si>
    <t xml:space="preserve">Public school current expenditure per pupil</t>
  </si>
  <si>
    <t xml:space="preserve">NCES Digest T236.55; 2010-11 and 2020-21</t>
  </si>
  <si>
    <t xml:space="preserve">06 — Component calculation (26 formulas)</t>
  </si>
  <si>
    <t xml:space="preserve">cost(2021) = cost(2010) × incidence factor × price factor. Every cell below is a live formula referencing tabs 02, 04 and 05.</t>
  </si>
  <si>
    <t xml:space="preserve">2010 ($M)</t>
  </si>
  <si>
    <t xml:space="preserve">Incidence factor</t>
  </si>
  <si>
    <t xml:space="preserve">Price factor</t>
  </si>
  <si>
    <t xml:space="preserve">Total factor</t>
  </si>
  <si>
    <t xml:space="preserve">2021 Track B ($M)</t>
  </si>
  <si>
    <t xml:space="preserve">2021 Track C ($M)</t>
  </si>
  <si>
    <t xml:space="preserve">Change vs 2010</t>
  </si>
  <si>
    <t xml:space="preserve">State allocator</t>
  </si>
  <si>
    <t xml:space="preserve">burden_pop</t>
  </si>
  <si>
    <t xml:space="preserve">burden</t>
  </si>
  <si>
    <t xml:space="preserve">pop</t>
  </si>
  <si>
    <t xml:space="preserve">burden_wage</t>
  </si>
  <si>
    <t xml:space="preserve">ethanol_wage</t>
  </si>
  <si>
    <t xml:space="preserve">pop_wage</t>
  </si>
  <si>
    <t xml:space="preserve">ethanol</t>
  </si>
  <si>
    <t xml:space="preserve">HEALTHCARE</t>
  </si>
  <si>
    <t xml:space="preserve">LOST PRODUCTIVITY</t>
  </si>
  <si>
    <t xml:space="preserve">OTHER</t>
  </si>
  <si>
    <t xml:space="preserve">TOTAL SOCIETAL COST</t>
  </si>
  <si>
    <t xml:space="preserve">07 — Government cost, allocated line by line</t>
  </si>
  <si>
    <t xml:space="preserve">Government cost is a SUBSET of societal cost, never an addition. The historical 40.4% is NOT applied to the total; each component carries its own payer logic.</t>
  </si>
  <si>
    <t xml:space="preserve">2021 cost ($M)</t>
  </si>
  <si>
    <t xml:space="preserve">Gov share 2010</t>
  </si>
  <si>
    <t xml:space="preserve">Gov share 2021</t>
  </si>
  <si>
    <t xml:space="preserve">Government ($M)</t>
  </si>
  <si>
    <t xml:space="preserve">Federal ($M)</t>
  </si>
  <si>
    <t xml:space="preserve">State/local ($M)</t>
  </si>
  <si>
    <t xml:space="preserve">Basis</t>
  </si>
  <si>
    <t xml:space="preserve">healthcare</t>
  </si>
  <si>
    <t xml:space="preserve">federal / only</t>
  </si>
  <si>
    <t xml:space="preserve">productivity</t>
  </si>
  <si>
    <t xml:space="preserve">police / courts</t>
  </si>
  <si>
    <t xml:space="preserve">corrections</t>
  </si>
  <si>
    <t xml:space="preserve">fire</t>
  </si>
  <si>
    <t xml:space="preserve">education</t>
  </si>
  <si>
    <t xml:space="preserve">GOVERNMENT TOTAL</t>
  </si>
  <si>
    <t xml:space="preserve">Government share of societal total</t>
  </si>
  <si>
    <t xml:space="preserve">CHECK: federal + state/local = government</t>
  </si>
  <si>
    <t xml:space="preserve">Note on component 24 (motor-vehicle crashes)</t>
  </si>
  <si>
    <t xml:space="preserve">The 2010 appendix assigned NO crash cost to government. That convention is preserved here in the strict track. A modern alternative assigning 25% to public payers and public services is tested on 11_SENSITIVITY. The convention was not changed silently.</t>
  </si>
  <si>
    <t xml:space="preserve">03 — Source crosswalk and comparability register</t>
  </si>
  <si>
    <t xml:space="preserve">One row per input series. Comparability status drives the confidence grade on tabs 04 and 05.</t>
  </si>
  <si>
    <t xml:space="preserve">Series key</t>
  </si>
  <si>
    <t xml:space="preserve">Series</t>
  </si>
  <si>
    <t xml:space="preserve">Status</t>
  </si>
  <si>
    <t xml:space="preserve">ARDI_AAD_STRICT</t>
  </si>
  <si>
    <t xml:space="preserve">CDC ARDI alcohol-attributable deaths, annual avg</t>
  </si>
  <si>
    <t xml:space="preserve">deaths</t>
  </si>
  <si>
    <t xml:space="preserve">SERIES BREAK x3</t>
  </si>
  <si>
    <t xml:space="preserve">Stahre 2014 (2006-2010); MMWR 73(8) 2024 (2020-2021). CDC EXPLICITLY WARNS AGAINST THIS COMPARISON.</t>
  </si>
  <si>
    <t xml:space="preserve">ARDI_YPLL_STRICT</t>
  </si>
  <si>
    <t xml:space="preserve">YPLL</t>
  </si>
  <si>
    <t xml:space="preserve">ALC_INDUCED</t>
  </si>
  <si>
    <t xml:space="preserve">NCHS alcohol-induced deaths (stable ICD-10 list)</t>
  </si>
  <si>
    <t xml:space="preserve">CONTINUOUS</t>
  </si>
  <si>
    <t xml:space="preserve">NVSR 61(4) and NVSR 73(8). Definition stable across window.</t>
  </si>
  <si>
    <t xml:space="preserve">NSDUH_AUD</t>
  </si>
  <si>
    <t xml:space="preserve">NSDUH_BINGE</t>
  </si>
  <si>
    <t xml:space="preserve">SERIES BREAK</t>
  </si>
  <si>
    <t xml:space="preserve">NSDUH_UNDERAGE</t>
  </si>
  <si>
    <t xml:space="preserve">NSDUH past-month alcohol use, ages 12-20</t>
  </si>
  <si>
    <t xml:space="preserve">2010 Summary of National Findings; 2021 DT 2.1A</t>
  </si>
  <si>
    <t xml:space="preserve">PREG_DRINK</t>
  </si>
  <si>
    <t xml:space="preserve">BRFSS current drinking during pregnancy</t>
  </si>
  <si>
    <t xml:space="preserve">percent</t>
  </si>
  <si>
    <t xml:space="preserve">DENOMINATOR CHANGED</t>
  </si>
  <si>
    <t xml:space="preserve">MMWR 64(37) 2011-2013; MMWR 75(22) 2021-2024. Age denominator changed 18-44 to 18-49.</t>
  </si>
  <si>
    <t xml:space="preserve">PREG_BINGE</t>
  </si>
  <si>
    <t xml:space="preserve">BRFSS binge drinking during pregnancy</t>
  </si>
  <si>
    <t xml:space="preserve">MMWR 64(37) 2011-2013; MMWR 75(22) 2021-2024</t>
  </si>
  <si>
    <t xml:space="preserve">SUD_CLIENTS</t>
  </si>
  <si>
    <t xml:space="preserve">clients</t>
  </si>
  <si>
    <t xml:space="preserve">SURVEY REDESIGNED</t>
  </si>
  <si>
    <t xml:space="preserve">NURSING_RES</t>
  </si>
  <si>
    <t xml:space="preserve">residents</t>
  </si>
  <si>
    <t xml:space="preserve">PROXY YEARS</t>
  </si>
  <si>
    <t xml:space="preserve">BIRTHS</t>
  </si>
  <si>
    <t xml:space="preserve">US live births</t>
  </si>
  <si>
    <t xml:space="preserve">births</t>
  </si>
  <si>
    <t xml:space="preserve">NCHS NVSR 74(11) Table 1</t>
  </si>
  <si>
    <t xml:space="preserve">INCARCERATED</t>
  </si>
  <si>
    <t xml:space="preserve">ALC_ARRESTS</t>
  </si>
  <si>
    <t xml:space="preserve">arrests</t>
  </si>
  <si>
    <t xml:space="preserve">NO 2021 DATA</t>
  </si>
  <si>
    <t xml:space="preserve">VIOLENT_CRIME</t>
  </si>
  <si>
    <t xml:space="preserve">FBI estimated violent crime offenses</t>
  </si>
  <si>
    <t xml:space="preserve">offenses</t>
  </si>
  <si>
    <t xml:space="preserve">NIBRS TRANSITION</t>
  </si>
  <si>
    <t xml:space="preserve">FBI CIUS 2010; FBI 2021 estimate (95% CI 1,223,400-1,402,900). NIBRS transition.</t>
  </si>
  <si>
    <t xml:space="preserve">PROPERTY_CRIME</t>
  </si>
  <si>
    <t xml:space="preserve">FBI estimated property crime offenses</t>
  </si>
  <si>
    <t xml:space="preserve">DERIVED FROM RATE</t>
  </si>
  <si>
    <t xml:space="preserve">FBI CIUS 2010; 2021 DERIVED from published rate 1,832.3/100k. FBI published no 2021 volume.</t>
  </si>
  <si>
    <t xml:space="preserve">NCVS_VIOLENT</t>
  </si>
  <si>
    <t xml:space="preserve">victimizations</t>
  </si>
  <si>
    <t xml:space="preserve">NCVS_PROP_RATE</t>
  </si>
  <si>
    <t xml:space="preserve">NCVS property victimization rate per 1,000 households</t>
  </si>
  <si>
    <t xml:space="preserve">rate</t>
  </si>
  <si>
    <t xml:space="preserve">RATE USED</t>
  </si>
  <si>
    <t xml:space="preserve">BJS CV2010 and CV2021. Rate used, not count, because the 2017 household re-weighting broke count series.</t>
  </si>
  <si>
    <t xml:space="preserve">HOUSEHOLDS</t>
  </si>
  <si>
    <t xml:space="preserve">US households (CPS ASEC)</t>
  </si>
  <si>
    <t xml:space="preserve">households</t>
  </si>
  <si>
    <t xml:space="preserve">Census CPS ASEC, FRED TTLHH</t>
  </si>
  <si>
    <t xml:space="preserve">AI_FATALITIES</t>
  </si>
  <si>
    <t xml:space="preserve">Alcohol-impaired-driving fatalities (BAC .08+)</t>
  </si>
  <si>
    <t xml:space="preserve">fatalities</t>
  </si>
  <si>
    <t xml:space="preserve">NHTSA FARS. 2010 revised figure; 2021 as first published (later revised to 13,599).</t>
  </si>
  <si>
    <t xml:space="preserve">AI_INJURIES</t>
  </si>
  <si>
    <t xml:space="preserve">injuries</t>
  </si>
  <si>
    <t xml:space="preserve">2019 ENDPOINT</t>
  </si>
  <si>
    <t xml:space="preserve">TOTAL_FIRES</t>
  </si>
  <si>
    <t xml:space="preserve">fires</t>
  </si>
  <si>
    <t xml:space="preserve">IDEA_STUDENTS</t>
  </si>
  <si>
    <t xml:space="preserve">Children served under IDEA Part B, ages 3-21</t>
  </si>
  <si>
    <t xml:space="preserve">students</t>
  </si>
  <si>
    <t xml:space="preserve">NCES Digest T204.30; 2010-11 and 2021-22</t>
  </si>
  <si>
    <t xml:space="preserve">EMPLOYMENT</t>
  </si>
  <si>
    <t xml:space="preserve">Civilian employment level, annual average</t>
  </si>
  <si>
    <t xml:space="preserve">BLS CPS Table 1</t>
  </si>
  <si>
    <t xml:space="preserve">CPI_U</t>
  </si>
  <si>
    <t xml:space="preserve">index</t>
  </si>
  <si>
    <t xml:space="preserve">CPI_MED</t>
  </si>
  <si>
    <t xml:space="preserve">ECEC</t>
  </si>
  <si>
    <t xml:space="preserve">$/hour</t>
  </si>
  <si>
    <t xml:space="preserve">ECI</t>
  </si>
  <si>
    <t xml:space="preserve">ECI total compensation, civilian (Dec 2005=100), December</t>
  </si>
  <si>
    <t xml:space="preserve">BLS ECI Dec 2010 &amp; Dec 2021 news releases</t>
  </si>
  <si>
    <t xml:space="preserve">PPI_LEGAL</t>
  </si>
  <si>
    <t xml:space="preserve">NHE_TOTAL</t>
  </si>
  <si>
    <t xml:space="preserve">National Health Expenditures, total</t>
  </si>
  <si>
    <t xml:space="preserve">$B</t>
  </si>
  <si>
    <t xml:space="preserve">CMS NHEA (as-published vintages; see change log CL-07)</t>
  </si>
  <si>
    <t xml:space="preserve">NHE_NURSING</t>
  </si>
  <si>
    <t xml:space="preserve">NHEA nursing care facilities + CCRC spending</t>
  </si>
  <si>
    <t xml:space="preserve">CMS NHEA via HUS 2018 T43 (2010) and AMA PRP (2021)</t>
  </si>
  <si>
    <t xml:space="preserve">NHE_RX</t>
  </si>
  <si>
    <t xml:space="preserve">NHEA retail prescription drug spending</t>
  </si>
  <si>
    <t xml:space="preserve">CMS NHEA press releases, Jan 2012 and Dec 2022</t>
  </si>
  <si>
    <t xml:space="preserve">NHE_ADMIN</t>
  </si>
  <si>
    <t xml:space="preserve">NHEA gov administration + net cost of health insurance</t>
  </si>
  <si>
    <t xml:space="preserve">CMS NHEA; 30.2+154.0 (2010), 51.5+255.7 (2021)</t>
  </si>
  <si>
    <t xml:space="preserve">BEA_PRISONS</t>
  </si>
  <si>
    <t xml:space="preserve">BEA state &amp; local current expenditure, prisons</t>
  </si>
  <si>
    <t xml:space="preserve">BEA NIPA G160881A027NBEA via FRED</t>
  </si>
  <si>
    <t xml:space="preserve">BEA_POLICE</t>
  </si>
  <si>
    <t xml:space="preserve">BEA state &amp; local current expenditure, police</t>
  </si>
  <si>
    <t xml:space="preserve">BEA NIPA G160851A027NBEA via FRED</t>
  </si>
  <si>
    <t xml:space="preserve">BEA_COURTS</t>
  </si>
  <si>
    <t xml:space="preserve">BEA state &amp; local current expenditure, law courts</t>
  </si>
  <si>
    <t xml:space="preserve">BEA NIPA G160871A027NBEA via FRED</t>
  </si>
  <si>
    <t xml:space="preserve">BEA_FIRE</t>
  </si>
  <si>
    <t xml:space="preserve">BEA state &amp; local current expenditure, fire</t>
  </si>
  <si>
    <t xml:space="preserve">BEA NIPA G160861A027NBEA via FRED</t>
  </si>
  <si>
    <t xml:space="preserve">NIAAA_APPROP</t>
  </si>
  <si>
    <t xml:space="preserve">$M</t>
  </si>
  <si>
    <t xml:space="preserve">PUPIL</t>
  </si>
  <si>
    <t xml:space="preserve">SL_COMP</t>
  </si>
  <si>
    <t xml:space="preserve">ECEC total compensation/hr, state &amp; local government, Dec</t>
  </si>
  <si>
    <t xml:space="preserve">BLS ECEC Dec 2010 &amp; Dec 2021</t>
  </si>
  <si>
    <t xml:space="preserve">NHTSA_UNIT</t>
  </si>
  <si>
    <t xml:space="preserve">NHTSA total economic cost per police-reported crash</t>
  </si>
  <si>
    <t xml:space="preserve">$/crash</t>
  </si>
  <si>
    <t xml:space="preserve">NHTSA DOT HS 812 013 (Rev.) and DOT HS 813 403, CPI-adjusted</t>
  </si>
  <si>
    <t xml:space="preserve">08 — Overlapping subsets: binge, underage, pregnancy</t>
  </si>
  <si>
    <t xml:space="preserve">*** THESE THREE OVERLAP AND MUST NEVER BE ADDED TOGETHER. ***</t>
  </si>
  <si>
    <t xml:space="preserve">A single person, and a single dollar of cost, can fall in more than one subset. An 18-year-old binge drinking is in both the binge and the underage subset. Summing them double-counts.</t>
  </si>
  <si>
    <t xml:space="preserve">Subset</t>
  </si>
  <si>
    <t xml:space="preserve">2010 published ($M)</t>
  </si>
  <si>
    <t xml:space="preserve">2010 model ($M)</t>
  </si>
  <si>
    <t xml:space="preserve">2021 share of total</t>
  </si>
  <si>
    <t xml:space="preserve">Attribution logic</t>
  </si>
  <si>
    <t xml:space="preserve">Binge</t>
  </si>
  <si>
    <t xml:space="preserve">Acute-harm components and premature mortality at 100%; other components at a calibrated fraction, because most people who drink heavily also binge. Fraction solved to reproduce the published $191.1B in 2010.</t>
  </si>
  <si>
    <t xml:space="preserve">Underage</t>
  </si>
  <si>
    <t xml:space="preserve">Acute components and mortality at fraction u; other components at 0.25u. u solved to reproduce the published $24.3B in 2010, then rescaled by the fall in underage drinking relative to overall drinking.</t>
  </si>
  <si>
    <t xml:space="preserve">Pregnancy</t>
  </si>
  <si>
    <t xml:space="preserve">The three fetal-alcohol components (6, 18, 26) plus a documented uplift for prenatal effects those lines miss. Uplift solved to reproduce the published $5.5B in 2010.</t>
  </si>
  <si>
    <t xml:space="preserve">DO NOT SUM ↑</t>
  </si>
  <si>
    <t xml:space="preserve">← meaningless; shown only to make the double-count visible</t>
  </si>
  <si>
    <t xml:space="preserve">09 — Alcohol volume and derived measures</t>
  </si>
  <si>
    <t xml:space="preserve">Standard drinks = ethanol gallons × 0.79 × 8.33 lb/gal × 453.59 g/lb ÷ 14 g/drink</t>
  </si>
  <si>
    <t xml:space="preserve">Measure</t>
  </si>
  <si>
    <t xml:space="preserve">2010</t>
  </si>
  <si>
    <t xml:space="preserve">2021</t>
  </si>
  <si>
    <t xml:space="preserve">Note</t>
  </si>
  <si>
    <t xml:space="preserve">Resident population</t>
  </si>
  <si>
    <t xml:space="preserve">2010 uses the April 1 Census count — the denominator that reproduces the published $807</t>
  </si>
  <si>
    <t xml:space="preserve">Population ages 14+ (NIAAA denominator)</t>
  </si>
  <si>
    <t xml:space="preserve">millions</t>
  </si>
  <si>
    <t xml:space="preserve">DERIVED. NIAAA does not publish its denominator by year.</t>
  </si>
  <si>
    <t xml:space="preserve">Per-capita ethanol, ages 14+</t>
  </si>
  <si>
    <t xml:space="preserve">NIAAA SR#122 Table 1</t>
  </si>
  <si>
    <t xml:space="preserve">Total ethanol volume</t>
  </si>
  <si>
    <t xml:space="preserve">million gal</t>
  </si>
  <si>
    <t xml:space="preserve">Per capita x population 14+. If a NIAAA table reports THOUSANDS of gallons, multiply by 1,000 before converting.</t>
  </si>
  <si>
    <t xml:space="preserve">Standard drinks</t>
  </si>
  <si>
    <t xml:space="preserve">billions</t>
  </si>
  <si>
    <t xml:space="preserve">Conversion validated: the 2010 figure reproduces the published $2.05/drink to four decimal places.</t>
  </si>
  <si>
    <t xml:space="preserve">DERIVED COST MEASURES (Track B)</t>
  </si>
  <si>
    <t xml:space="preserve">Total societal cost ($M)</t>
  </si>
  <si>
    <t xml:space="preserve">Government cost ($M)</t>
  </si>
  <si>
    <t xml:space="preserve">Government cost per standard drink</t>
  </si>
  <si>
    <t xml:space="preserve">Apparent-sales basis, not self-report</t>
  </si>
  <si>
    <t xml:space="preserve">NIAAA apparent consumption is derived from sales and tax data. It is NOT self-reported consumption, and is roughly 1.5-2x higher than survey self-reports. State per-drink figures are further distorted by tourism and cross-border purchasing — flag both before interpreting.</t>
  </si>
  <si>
    <t xml:space="preserve">10 — State allocation (Phase 4)</t>
  </si>
  <si>
    <t xml:space="preserve">State estimates are WEAKER than the national model. Allocators are proxies; per-drink figures are distorted by tourism and cross-border purchasing.</t>
  </si>
  <si>
    <t xml:space="preserve">National cost by allocator ($M) — live SUMIF against tab 06. Columns R-S carry the ALTERNATIVE burden-weighted allocation for comparison; column F uses the preferred anchored method.</t>
  </si>
  <si>
    <t xml:space="preserve">Allocator method ($M)</t>
  </si>
  <si>
    <t xml:space="preserve">Method gap</t>
  </si>
  <si>
    <t xml:space="preserve">Growth factor / normalizer</t>
  </si>
  <si>
    <t xml:space="preserve">Mean wage 2021</t>
  </si>
  <si>
    <t xml:space="preserve">State</t>
  </si>
  <si>
    <t xml:space="preserve">2010 PUBLISHED ($M)</t>
  </si>
  <si>
    <t xml:space="preserve">2010 per capita</t>
  </si>
  <si>
    <t xml:space="preserve">2010 per drink</t>
  </si>
  <si>
    <t xml:space="preserve">Population 2021</t>
  </si>
  <si>
    <t xml:space="preserve">Cost per drink</t>
  </si>
  <si>
    <t xml:space="preserve">Share of national</t>
  </si>
  <si>
    <t xml:space="preserve">share: pop</t>
  </si>
  <si>
    <t xml:space="preserve">share: burden</t>
  </si>
  <si>
    <t xml:space="preserve">share: ethanol</t>
  </si>
  <si>
    <t xml:space="preserve">share: burden_pop</t>
  </si>
  <si>
    <t xml:space="preserve">share: burden_wage</t>
  </si>
  <si>
    <t xml:space="preserve">share: ethanol_wage</t>
  </si>
  <si>
    <t xml:space="preserve">share: pop_wage</t>
  </si>
  <si>
    <t xml:space="preserve">California</t>
  </si>
  <si>
    <t xml:space="preserve">Texas</t>
  </si>
  <si>
    <t xml:space="preserve">New York</t>
  </si>
  <si>
    <t xml:space="preserve">Florida</t>
  </si>
  <si>
    <t xml:space="preserve">Illinois</t>
  </si>
  <si>
    <t xml:space="preserve">Pennsylvania</t>
  </si>
  <si>
    <t xml:space="preserve">Ohio</t>
  </si>
  <si>
    <t xml:space="preserve">Michigan</t>
  </si>
  <si>
    <t xml:space="preserve">North Carolina</t>
  </si>
  <si>
    <t xml:space="preserve">Georgia</t>
  </si>
  <si>
    <t xml:space="preserve">New Jersey</t>
  </si>
  <si>
    <t xml:space="preserve">Virginia</t>
  </si>
  <si>
    <t xml:space="preserve">Arizona</t>
  </si>
  <si>
    <t xml:space="preserve">Washington</t>
  </si>
  <si>
    <t xml:space="preserve">Massachusetts</t>
  </si>
  <si>
    <t xml:space="preserve">Colorado</t>
  </si>
  <si>
    <t xml:space="preserve">Maryland</t>
  </si>
  <si>
    <t xml:space="preserve">Tennessee</t>
  </si>
  <si>
    <t xml:space="preserve">Missouri</t>
  </si>
  <si>
    <t xml:space="preserve">Indiana</t>
  </si>
  <si>
    <t xml:space="preserve">Wisconsin</t>
  </si>
  <si>
    <t xml:space="preserve">South Carolina</t>
  </si>
  <si>
    <t xml:space="preserve">Minnesota</t>
  </si>
  <si>
    <t xml:space="preserve">Louisiana</t>
  </si>
  <si>
    <t xml:space="preserve">Alabama</t>
  </si>
  <si>
    <t xml:space="preserve">Oregon</t>
  </si>
  <si>
    <t xml:space="preserve">Kentucky</t>
  </si>
  <si>
    <t xml:space="preserve">Oklahoma</t>
  </si>
  <si>
    <t xml:space="preserve">Connecticut</t>
  </si>
  <si>
    <t xml:space="preserve">Nevada</t>
  </si>
  <si>
    <t xml:space="preserve">Mississippi</t>
  </si>
  <si>
    <t xml:space="preserve">New Mexico</t>
  </si>
  <si>
    <t xml:space="preserve">Kansas</t>
  </si>
  <si>
    <t xml:space="preserve">Arkansas</t>
  </si>
  <si>
    <t xml:space="preserve">Iowa</t>
  </si>
  <si>
    <t xml:space="preserve">Utah</t>
  </si>
  <si>
    <t xml:space="preserve">West Virginia</t>
  </si>
  <si>
    <t xml:space="preserve">Nebraska</t>
  </si>
  <si>
    <t xml:space="preserve">Idaho</t>
  </si>
  <si>
    <t xml:space="preserve">New Hampshire</t>
  </si>
  <si>
    <t xml:space="preserve">Maine</t>
  </si>
  <si>
    <t xml:space="preserve">Hawaii</t>
  </si>
  <si>
    <t xml:space="preserve">District of Columbia</t>
  </si>
  <si>
    <t xml:space="preserve">Rhode Island</t>
  </si>
  <si>
    <t xml:space="preserve">Montana</t>
  </si>
  <si>
    <t xml:space="preserve">Alaska</t>
  </si>
  <si>
    <t xml:space="preserve">Delaware</t>
  </si>
  <si>
    <t xml:space="preserve">South Dakota</t>
  </si>
  <si>
    <t xml:space="preserve">Wyoming</t>
  </si>
  <si>
    <t xml:space="preserve">Vermont</t>
  </si>
  <si>
    <t xml:space="preserve">North Dakota</t>
  </si>
  <si>
    <t xml:space="preserve">UNITED STATES</t>
  </si>
  <si>
    <t xml:space="preserve">ALLOCATOR ASSIGNMENT</t>
  </si>
  <si>
    <t xml:space="preserve">1. Specialty care for abuse/dependence</t>
  </si>
  <si>
    <t xml:space="preserve">60% death share + 40% population share</t>
  </si>
  <si>
    <t xml:space="preserve">2. Hospitalization</t>
  </si>
  <si>
    <t xml:space="preserve">Alcohol-induced death share</t>
  </si>
  <si>
    <t xml:space="preserve">3. Ambulatory care</t>
  </si>
  <si>
    <t xml:space="preserve">4. Nursing home</t>
  </si>
  <si>
    <t xml:space="preserve">5. Drugs and other services</t>
  </si>
  <si>
    <t xml:space="preserve">6. FAS healthcare</t>
  </si>
  <si>
    <t xml:space="preserve">Resident population share</t>
  </si>
  <si>
    <t xml:space="preserve">7. Prevention and research</t>
  </si>
  <si>
    <t xml:space="preserve">8. Training</t>
  </si>
  <si>
    <t xml:space="preserve">9. Health insurance administration</t>
  </si>
  <si>
    <t xml:space="preserve">10. Impaired productivity at work</t>
  </si>
  <si>
    <t xml:space="preserve">Death share × state wage index</t>
  </si>
  <si>
    <t xml:space="preserve">11. Impaired productivity at home</t>
  </si>
  <si>
    <t xml:space="preserve">12. Absenteeism</t>
  </si>
  <si>
    <t xml:space="preserve">Ethanol share × state wage index</t>
  </si>
  <si>
    <t xml:space="preserve">13. Productivity while in specialty care</t>
  </si>
  <si>
    <t xml:space="preserve">14. Productivity while hospitalized</t>
  </si>
  <si>
    <t xml:space="preserve">15. Premature mortality</t>
  </si>
  <si>
    <t xml:space="preserve">16. Incarceration of perpetrators</t>
  </si>
  <si>
    <t xml:space="preserve">17. Crime victims</t>
  </si>
  <si>
    <t xml:space="preserve">Population share × state wage index</t>
  </si>
  <si>
    <t xml:space="preserve">18. FAS productivity</t>
  </si>
  <si>
    <t xml:space="preserve">19. Crime-victim property damage</t>
  </si>
  <si>
    <t xml:space="preserve">20. Criminal justice - corrections</t>
  </si>
  <si>
    <t xml:space="preserve">Ethanol volume share (per capita × population)</t>
  </si>
  <si>
    <t xml:space="preserve">21. Criminal justice - alcohol crimes</t>
  </si>
  <si>
    <t xml:space="preserve">22. Criminal justice - violent/property crime</t>
  </si>
  <si>
    <t xml:space="preserve">23. Criminal justice - private legal</t>
  </si>
  <si>
    <t xml:space="preserve">24. Motor-vehicle crashes</t>
  </si>
  <si>
    <t xml:space="preserve">25. Fire losses</t>
  </si>
  <si>
    <t xml:space="preserve">26. FAS special education</t>
  </si>
  <si>
    <t xml:space="preserve">Caveats</t>
  </si>
  <si>
    <t xml:space="preserve">State per-capita ethanol is 2023 (NIAAA SR#122 Table 2) used as a relative allocator; 2021 state values were not retrievable for 41 states, and cross-state ranking is stable between the two years. No state-level corrections-expenditure series was obtainable, so justice components are allocated on population rather than actual spending. Treat all state results as Grade C or worse.</t>
  </si>
  <si>
    <t xml:space="preserve">11 — Scenarios, sensitivity, and driver decomposition</t>
  </si>
  <si>
    <t xml:space="preserve">Ranges below are SCENARIO ranges, not statistical confidence intervals. Do not describe them as confidence intervals.</t>
  </si>
  <si>
    <t xml:space="preserve">Scenario</t>
  </si>
  <si>
    <t xml:space="preserve">Total ($M)</t>
  </si>
  <si>
    <t xml:space="preserve">Per resident</t>
  </si>
  <si>
    <t xml:space="preserve">Per drink</t>
  </si>
  <si>
    <t xml:space="preserve">vs Track B</t>
  </si>
  <si>
    <t xml:space="preserve">Track B - strict update (headline)</t>
  </si>
  <si>
    <t xml:space="preserve">Track C - modernized central</t>
  </si>
  <si>
    <t xml:space="preserve">Low scenario (built on Track C)</t>
  </si>
  <si>
    <t xml:space="preserve">High scenario (built on Track B)</t>
  </si>
  <si>
    <t xml:space="preserve">VSL mortality valuation (SEPARATE MEASURE - do not compare with the headline)</t>
  </si>
  <si>
    <t xml:space="preserve">Modern crash government share (25% public; 2010 calibration re-solved, so productivity residual falls)</t>
  </si>
  <si>
    <t xml:space="preserve">Pre-pandemic (2019) government shares - removes the COVID-transient lift in public health spending and government receipts</t>
  </si>
  <si>
    <t xml:space="preserve">Crashes driven by alcohol-impaired FATALITIES and NHTSA total cost per crash (rejected as double-counting; shown for transparency)</t>
  </si>
  <si>
    <t xml:space="preserve">Original 40.4% government convention (sensitivity)</t>
  </si>
  <si>
    <t xml:space="preserve">VSL WARNING</t>
  </si>
  <si>
    <t xml:space="preserve">The value-of-statistical-life scenario measures a CONCEPTUALLY DIFFERENT quantity from the human-capital headline. It captures willingness to pay to avoid mortality risk, not foregone production, and cannot be compared with the 2010 estimate or added to any other line. It is reported here only because current federal regulatory practice uses VSL.</t>
  </si>
  <si>
    <t xml:space="preserve">DRIVER DECOMPOSITION — what changed since 2010</t>
  </si>
  <si>
    <t xml:space="preserve">Counterfactual</t>
  </si>
  <si>
    <t xml:space="preserve">Implied change</t>
  </si>
  <si>
    <t xml:space="preserve">Reading</t>
  </si>
  <si>
    <t xml:space="preserve">2010 published baseline</t>
  </si>
  <si>
    <t xml:space="preserve">The published starting point</t>
  </si>
  <si>
    <t xml:space="preserve">Inflation only (CPI-U)</t>
  </si>
  <si>
    <t xml:space="preserve">What simply inflating $249B would have produced. The brief rejects this as a method because it updates prices but not burden.</t>
  </si>
  <si>
    <t xml:space="preserve">Price factors only, incidence held at 2010</t>
  </si>
  <si>
    <t xml:space="preserve">Component-specific prices, wages and expenditures — larger than CPI alone because medical, compensation and justice prices outran general inflation.</t>
  </si>
  <si>
    <t xml:space="preserve">Incidence factors only, prices held at 2010</t>
  </si>
  <si>
    <t xml:space="preserve">Burden change alone. Driven overwhelmingly by mortality and AUD prevalence.</t>
  </si>
  <si>
    <t xml:space="preserve">Track B — strict update</t>
  </si>
  <si>
    <t xml:space="preserve">Both factors, published structure preserved</t>
  </si>
  <si>
    <t xml:space="preserve">Track C — modernized</t>
  </si>
  <si>
    <t xml:space="preserve">Bridged mortality, DSM-adjusted AUD, severity-weighted crashes</t>
  </si>
  <si>
    <t xml:space="preserve">Method effect (Track B − Track C)</t>
  </si>
  <si>
    <t xml:space="preserve">How much of the strict result is attributable to methodology and series breaks rather than to real change in burden or prices.</t>
  </si>
  <si>
    <t xml:space="preserve">Population growth 2010→2021</t>
  </si>
  <si>
    <t xml:space="preserve">Resident population rose 7.5%. Because the model works in national totals rather than rates, population growth is embedded inside the incidence factors, not applied separately.</t>
  </si>
  <si>
    <t xml:space="preserve">12 — Quality assurance and acceptance criteria</t>
  </si>
  <si>
    <t xml:space="preserve">Brief §12: the work is ready for external review only when every test passes or is explicitly waived with a reason.</t>
  </si>
  <si>
    <t xml:space="preserve">Acceptance test</t>
  </si>
  <si>
    <t xml:space="preserve">Result</t>
  </si>
  <si>
    <t xml:space="preserve">Detail</t>
  </si>
  <si>
    <t xml:space="preserve">A1. 26 components present</t>
  </si>
  <si>
    <t xml:space="preserve">PASS</t>
  </si>
  <si>
    <t xml:space="preserve">n=26</t>
  </si>
  <si>
    <t xml:space="preserve">A2. Healthcare components sum to $28,379.1M</t>
  </si>
  <si>
    <t xml:space="preserve">computed 28379.1</t>
  </si>
  <si>
    <t xml:space="preserve">A3. Productivity components sum to $179,084.9M</t>
  </si>
  <si>
    <t xml:space="preserve">computed 179084.9</t>
  </si>
  <si>
    <t xml:space="preserve">A4. Other components sum to $41,562.5M</t>
  </si>
  <si>
    <t xml:space="preserve">computed 41562.5</t>
  </si>
  <si>
    <t xml:space="preserve">A5. Grand total reproduces $249,026.4M within rounding tolerance</t>
  </si>
  <si>
    <t xml:space="preserve">computed 249026.5; published 249026.4; delta +0.1 (publication rounding artifact, NOT a model error)</t>
  </si>
  <si>
    <t xml:space="preserve">A6. Government calibration closes on $100,674.8M [IDENTITY BY CONSTRUCTION - not an independent test]</t>
  </si>
  <si>
    <t xml:space="preserve">computed 100674.80; calibrated productivity gov share = 32.154%</t>
  </si>
  <si>
    <t xml:space="preserve">A7. Calibrated productivity gov share is plausible vs BEA receipts</t>
  </si>
  <si>
    <t xml:space="preserve">32.15% vs BEA gov receipts/national income 30.74% in 2010</t>
  </si>
  <si>
    <t xml:space="preserve">A8. Government share reproduces 40.4% [follows from A6 - not an independent test]</t>
  </si>
  <si>
    <t xml:space="preserve">40.43%</t>
  </si>
  <si>
    <t xml:space="preserve">A9. Cost per resident reproduces $807</t>
  </si>
  <si>
    <t xml:space="preserve">$806.57</t>
  </si>
  <si>
    <t xml:space="preserve">A10. Cost per drink reproduces $2.05 [the 2010 population-14+ share was back-solved from this figure, so this is a consistency check, not a test]</t>
  </si>
  <si>
    <t xml:space="preserve">$2.0500</t>
  </si>
  <si>
    <t xml:space="preserve">A11. Government cost per drink reproduces $0.83</t>
  </si>
  <si>
    <t xml:space="preserve">$0.8288</t>
  </si>
  <si>
    <t xml:space="preserve">A12. Ethanol conversion is dimensionally correct [consequence of A10; verifies units, not the input]</t>
  </si>
  <si>
    <t xml:space="preserve">121.476B standard drinks from 569.75M gallons ethanol</t>
  </si>
  <si>
    <t xml:space="preserve">B1. Every component has a source, grade, and both endpoints</t>
  </si>
  <si>
    <t xml:space="preserve">26/26 fully documented</t>
  </si>
  <si>
    <t xml:space="preserve">B2. Category sums reconcile to the grand total (Track B)</t>
  </si>
  <si>
    <t xml:space="preserve">B3. Government does not exceed total in any component</t>
  </si>
  <si>
    <t xml:space="preserve">max share 100.00%</t>
  </si>
  <si>
    <t xml:space="preserve">B4. Federal + state/local sum to the government total</t>
  </si>
  <si>
    <t xml:space="preserve">B5. Government total does not exceed societal total</t>
  </si>
  <si>
    <t xml:space="preserve">gov 198303.4 &lt; total 473619.7</t>
  </si>
  <si>
    <t xml:space="preserve">B6. Per-drink uses ethanol volume correctly at both endpoints</t>
  </si>
  <si>
    <t xml:space="preserve">2021 = 149.600B drinks vs 2010 121.476B</t>
  </si>
  <si>
    <t xml:space="preserve">B7. No factor rounded before output (Decimal prec 28)</t>
  </si>
  <si>
    <t xml:space="preserve">prec=28</t>
  </si>
  <si>
    <t xml:space="preserve">C1. Subset logic reproduces the published 2010 binge value</t>
  </si>
  <si>
    <t xml:space="preserve">computed 191100.0 vs published 191100</t>
  </si>
  <si>
    <t xml:space="preserve">C2. Subset logic reproduces the published 2010 underage value</t>
  </si>
  <si>
    <t xml:space="preserve">computed 24300.0 vs published 24300</t>
  </si>
  <si>
    <t xml:space="preserve">C3. Subset logic reproduces the published 2010 pregnancy value</t>
  </si>
  <si>
    <t xml:space="preserve">computed 5500.0 vs published 5500</t>
  </si>
  <si>
    <t xml:space="preserve">C4. Subsets draw on overlapping components (summing would double-count)</t>
  </si>
  <si>
    <t xml:space="preserve">$76.0B of acute cost enters the binge subset at weight 1.00 and the underage subset at weight 0.0873, so $6.6B sits in both. Reported separately, never added.</t>
  </si>
  <si>
    <t xml:space="preserve">C5. No individual subset exceeds the total</t>
  </si>
  <si>
    <t xml:space="preserve">D6. Published 2010 state anchors reconcile to the national 2010 total</t>
  </si>
  <si>
    <t xml:space="preserve">51 published state values sum to 249026.3 against a national 249026.5 (difference is per-state publication rounding)</t>
  </si>
  <si>
    <t xml:space="preserve">D7. The two state methods agree within 35% for most jurisdictions</t>
  </si>
  <si>
    <t xml:space="preserve">40 of 51 within 35%. Largest divergences: Louisiana 66.8%; South Dakota -52.8%; New York 44.4%; New Mexico -43.5%. These are genuine method disagreements, not errors: the anchor carries a state's published 2010 level forward, while the allocator leans on 2021 alcohol-death share. Louisiana's 2010 cost per resident was above the national average but its 2021 alcohol-induced death rate is well below it, so the two methods pull in opposite directions. The anchored method is reported; the allocator value is carried alongside it so the disagreement stays visible.</t>
  </si>
  <si>
    <t xml:space="preserve">D8. Anchored state totals reconcile to the national 2021 total</t>
  </si>
  <si>
    <t xml:space="preserve">states 473619.7 vs national 473619.7</t>
  </si>
  <si>
    <t xml:space="preserve">D1. State allocations sum to the national total</t>
  </si>
  <si>
    <t xml:space="preserve">D2. All 51 jurisdictions present</t>
  </si>
  <si>
    <t xml:space="preserve">n=51</t>
  </si>
  <si>
    <t xml:space="preserve">D4. State ethanol volume reconciles to the national 2021 total</t>
  </si>
  <si>
    <t xml:space="preserve">states 701.65M gal vs national 701.65M gal</t>
  </si>
  <si>
    <t xml:space="preserve">D5. State population sum is flagged against the national denominator</t>
  </si>
  <si>
    <t xml:space="preserve">state sum 332,100,166 vs Vintage 2021 331,893,745 (+0.06%, different Census vintage; state per-capita figures use the state sum)</t>
  </si>
  <si>
    <t xml:space="preserve">D3. State alcohol-induced deaths reconcile to the national count</t>
  </si>
  <si>
    <t xml:space="preserve">sum=54258 vs NCHS 54,258</t>
  </si>
  <si>
    <t xml:space="preserve">32 of 32 acceptance tests PASS</t>
  </si>
  <si>
    <t xml:space="preserve">LIVE WORKBOOK CHECKS (recalculate to verify)</t>
  </si>
  <si>
    <t xml:space="preserve">Component count = 26</t>
  </si>
  <si>
    <t xml:space="preserve">Category subtotals reconcile to the grand total</t>
  </si>
  <si>
    <t xml:space="preserve">Government does not exceed the societal total</t>
  </si>
  <si>
    <t xml:space="preserve">Federal + state/local = government total</t>
  </si>
  <si>
    <t xml:space="preserve">No component government cost exceeds its component total</t>
  </si>
  <si>
    <t xml:space="preserve">State allocations sum to the national total</t>
  </si>
  <si>
    <t xml:space="preserve">2010 baseline reproduces the published grand total (±0.15)</t>
  </si>
  <si>
    <t xml:space="preserve">Every component carries a confidence grade</t>
  </si>
  <si>
    <t xml:space="preserve">SECOND-REVIEWER SIGNOFF (brief §12)</t>
  </si>
  <si>
    <t xml:space="preserve">Top five components by value independently checked</t>
  </si>
  <si>
    <t xml:space="preserve">Reviewer initials and date</t>
  </si>
  <si>
    <t xml:space="preserve">All government-share formulas independently checked</t>
  </si>
  <si>
    <t xml:space="preserve">Unit test on ethanol conversion independently checked</t>
  </si>
  <si>
    <t xml:space="preserve">Workbook runs clean from a fresh copy with no pasted totals</t>
  </si>
  <si>
    <t xml:space="preserve">13 — Publication tables</t>
  </si>
  <si>
    <t xml:space="preserve">Rounded for publication. Unrounded values live on tab 06. Every figure below is a live reference, not a pasted number.</t>
  </si>
  <si>
    <t xml:space="preserve">TABLE 1. Economic cost of excessive alcohol consumption, United States, 2021</t>
  </si>
  <si>
    <t xml:space="preserve">Change (Track B)</t>
  </si>
  <si>
    <t xml:space="preserve">Share of 2021 total</t>
  </si>
  <si>
    <t xml:space="preserve">Other costs</t>
  </si>
  <si>
    <t xml:space="preserve">TABLE 2. Government cost and derived measures</t>
  </si>
  <si>
    <t xml:space="preserve">2021 Track B</t>
  </si>
  <si>
    <t xml:space="preserve">Re-estimated line by line, not by applying 40.4% to the total</t>
  </si>
  <si>
    <t xml:space="preserve">Government share</t>
  </si>
  <si>
    <t xml:space="preserve">Government cost is a SUBSET of the total, never an addition</t>
  </si>
  <si>
    <t xml:space="preserve">State and local ($M)</t>
  </si>
  <si>
    <t xml:space="preserve">TABLE 3. All 26 components, Track B</t>
  </si>
  <si>
    <t xml:space="preserve">2021 ($M)</t>
  </si>
  <si>
    <t xml:space="preserve">Change</t>
  </si>
  <si>
    <t xml:space="preserve">IOWA — independent state replication</t>
  </si>
  <si>
    <t xml:space="preserve">Anchored to Iowa's PUBLISHED 2010 cost. Not a CDC estimate.</t>
  </si>
  <si>
    <t xml:space="preserve">Why Iowa gets its own model</t>
  </si>
  <si>
    <t xml:space="preserve">Sacks et al. published state-level 2010 costs, so Iowa has a real Track A unit test rather than a share of the national number. The model must reproduce $1,933.6M, $635 per resident and $1.59 per drink before any 2021 result is trusted.</t>
  </si>
  <si>
    <t xml:space="preserve">Published 2010 anchor</t>
  </si>
  <si>
    <t xml:space="preserve">$1933.6M total · $635 per resident · $1.59 per standard drink. Iowa ranked 2nd LOWEST of 51 on cost per resident and 6th lowest on cost per drink.</t>
  </si>
  <si>
    <t xml:space="preserve">2021 Track B (strict)</t>
  </si>
  <si>
    <t xml:space="preserve">$3.57 billion</t>
  </si>
  <si>
    <t xml:space="preserve">2021 Track C (modernized)</t>
  </si>
  <si>
    <t xml:space="preserve">$3.25 billion</t>
  </si>
  <si>
    <t xml:space="preserve">$1.56 billion (43.7%)</t>
  </si>
  <si>
    <t xml:space="preserve">Cost per Iowan</t>
  </si>
  <si>
    <t xml:space="preserve">$1,115 (was $635 in 2010)</t>
  </si>
  <si>
    <t xml:space="preserve">$2.52 (was $1.59 in 2010)</t>
  </si>
  <si>
    <t xml:space="preserve">Iowa-specific drivers</t>
  </si>
  <si>
    <t xml:space="preserve">16 of 26 components use an Iowa series. The remaining 10 fall back to the national driver and are flagged NATIONAL FALLBACK on IA_06_COMPONENT_CALC.</t>
  </si>
  <si>
    <t xml:space="preserve">Three constructions agree</t>
  </si>
  <si>
    <t xml:space="preserve">Bottom-up Iowa model $3.57B · anchored method $3.68B · burden-weighted allocation $4.66B. The first two agree within 3%, which is real validation. The allocation runs high because it leans on Iowa's 2021 alcohol-death share.</t>
  </si>
  <si>
    <t xml:space="preserve">THE HEADLINE IOWA FINDING</t>
  </si>
  <si>
    <t xml:space="preserve">Iowa's alcohol-induced deaths rose from 233 to 608 — a factor of 2.61, against a national 2.11. Iowa's alcohol mortality worsened FASTER than the country's, from a lower base.</t>
  </si>
  <si>
    <t xml:space="preserve">IA_02 — Iowa 2010 baseline and Track A tests</t>
  </si>
  <si>
    <t xml:space="preserve">Iowa's published 2010 anchor. All three tests must pass.</t>
  </si>
  <si>
    <t xml:space="preserve">Track A test</t>
  </si>
  <si>
    <t xml:space="preserve">Model</t>
  </si>
  <si>
    <t xml:space="preserve">Total 2010 cost ($M)</t>
  </si>
  <si>
    <t xml:space="preserve">DIAGNOSTICS</t>
  </si>
  <si>
    <t xml:space="preserve">Allocation calibration factor</t>
  </si>
  <si>
    <t xml:space="preserve">The national component vector allocated to Iowa with 2010 Iowa allocators overstates Iowa by 8.0%; this factor rescales it so the sum reproduces the published $1,933.6M. A factor near 1.00 would mean the allocator logic reproduces Iowa unaided.</t>
  </si>
  <si>
    <t xml:space="preserve">Iowa share of national 2010 cost</t>
  </si>
  <si>
    <t xml:space="preserve">Well BELOW Iowa's population share, consistent with the published $635 per resident against a national $807.</t>
  </si>
  <si>
    <t xml:space="preserve">Iowa share of national population</t>
  </si>
  <si>
    <t xml:space="preserve">Census 2010</t>
  </si>
  <si>
    <t xml:space="preserve">Iowa share of alcohol-induced deaths</t>
  </si>
  <si>
    <t xml:space="preserve">NCHS 2010: 233 of 25,692</t>
  </si>
  <si>
    <t xml:space="preserve">Iowa wage index vs national</t>
  </si>
  <si>
    <t xml:space="preserve">BLS QCEW Iowa 2010 average annual pay against the national OEWS mean</t>
  </si>
  <si>
    <t xml:space="preserve">Back-solved 2010 per-capita ethanol</t>
  </si>
  <si>
    <t xml:space="preserve">Derived from the published $1.59 per drink, exactly as the national model derives the population-14+ share from $2.05. Lands 1.7% above the national 2.26, consistent with Iowa's slightly-above-average apparent consumption.</t>
  </si>
  <si>
    <t xml:space="preserve">2021 per-capita ethanol</t>
  </si>
  <si>
    <t xml:space="preserve">CDC Chronic Disease Indicators / NIAAA state series</t>
  </si>
  <si>
    <t xml:space="preserve">Standard drinks 2010 (billions)</t>
  </si>
  <si>
    <t xml:space="preserve">Standard drinks 2021 (billions)</t>
  </si>
  <si>
    <t xml:space="preserve">IA_06 — Iowa component calculation</t>
  </si>
  <si>
    <t xml:space="preserve">Iowa 2010 component × Iowa incidence factor × price factor. Components using a national driver are flagged.</t>
  </si>
  <si>
    <t xml:space="preserve">Iowa 2010 ($M)</t>
  </si>
  <si>
    <t xml:space="preserve">Incidence driver</t>
  </si>
  <si>
    <t xml:space="preserve">Price driver</t>
  </si>
  <si>
    <t xml:space="preserve">2021 Track C</t>
  </si>
  <si>
    <t xml:space="preserve">Driver source</t>
  </si>
  <si>
    <t xml:space="preserve">Specialty SU treatment clients with any alcohol problem [national]</t>
  </si>
  <si>
    <t xml:space="preserve">CPI Medical Care, annual avg (1982-84=100) [national]</t>
  </si>
  <si>
    <t xml:space="preserve">NATIONAL</t>
  </si>
  <si>
    <t xml:space="preserve">Iowa alcohol-related inpatient stays</t>
  </si>
  <si>
    <t xml:space="preserve">Iowa alcohol use disorder, ages 12+</t>
  </si>
  <si>
    <t xml:space="preserve">Nursing facility residents [national]</t>
  </si>
  <si>
    <t xml:space="preserve">Nursing-facility spending per resident [national]</t>
  </si>
  <si>
    <t xml:space="preserve">Iowa live births</t>
  </si>
  <si>
    <t xml:space="preserve">Observed federal alcohol research appropriation [national]</t>
  </si>
  <si>
    <t xml:space="preserve">NIAAA appropriation, nominal [national]</t>
  </si>
  <si>
    <t xml:space="preserve">Substance-use counselor workforce [national]</t>
  </si>
  <si>
    <t xml:space="preserve">ECEC total compensation per hour, civilian, December [national]</t>
  </si>
  <si>
    <t xml:space="preserve">Iowa alcohol-attributable health spending (components 1-6, endogenous)</t>
  </si>
  <si>
    <t xml:space="preserve">Administrative load per dollar of health spending [national]</t>
  </si>
  <si>
    <t xml:space="preserve">Iowa average annual wage</t>
  </si>
  <si>
    <t xml:space="preserve">Iowa past-month binge drinking, ages 12+</t>
  </si>
  <si>
    <t xml:space="preserve">Iowa ARDI years of potential life lost, annual avg</t>
  </si>
  <si>
    <t xml:space="preserve">Iowa prison population, yearend jurisdiction</t>
  </si>
  <si>
    <t xml:space="preserve">NCVS violent victimizations, age 12+ [national]</t>
  </si>
  <si>
    <t xml:space="preserve">NCVS property victimizations (rate x households) [national]</t>
  </si>
  <si>
    <t xml:space="preserve">CPI-U All Items, annual avg (1982-84=100) [national]</t>
  </si>
  <si>
    <t xml:space="preserve">Corrections expenditure per incarcerated person [national]</t>
  </si>
  <si>
    <t xml:space="preserve">DUI + drunkenness + liquor-law arrests [national]</t>
  </si>
  <si>
    <t xml:space="preserve">Blended police + judicial expenditure per arrest [national]</t>
  </si>
  <si>
    <t xml:space="preserve">Iowa violent (60%) + property (40%) offence ratio</t>
  </si>
  <si>
    <t xml:space="preserve">Blended police + judicial expenditure per offence [national]</t>
  </si>
  <si>
    <t xml:space="preserve">PPI Offices of Lawyers (Dec 1996=100), annual avg [national]</t>
  </si>
  <si>
    <t xml:space="preserve">Alcohol-involved non-fatal crash injuries [national]</t>
  </si>
  <si>
    <t xml:space="preserve">Total US fires [national]</t>
  </si>
  <si>
    <t xml:space="preserve">Fire-protection expenditure per fire [national]</t>
  </si>
  <si>
    <t xml:space="preserve">Iowa public school current expenditure per pupil</t>
  </si>
  <si>
    <t xml:space="preserve">IOWA TOTAL</t>
  </si>
  <si>
    <t xml:space="preserve">CHECK: Iowa 2010 components reproduce the published total</t>
  </si>
  <si>
    <t xml:space="preserve">Iowa-specific incidence drivers used</t>
  </si>
  <si>
    <t xml:space="preserve">IA_11 — Iowa scenarios and decomposition</t>
  </si>
  <si>
    <t xml:space="preserve">Scenario ranges, not confidence intervals.</t>
  </si>
  <si>
    <t xml:space="preserve">Track B - strict update</t>
  </si>
  <si>
    <t xml:space="preserve">National ECEC compensation instead of the Iowa QCEW-to-OEWS wage pair</t>
  </si>
  <si>
    <t xml:space="preserve">Iowa crime data - higher LSA vintage</t>
  </si>
  <si>
    <t xml:space="preserve">Iowa crime data - lower LSA vintage</t>
  </si>
  <si>
    <t xml:space="preserve">DRIVER DECOMPOSITION</t>
  </si>
  <si>
    <t xml:space="preserve">vs 2010</t>
  </si>
  <si>
    <t xml:space="preserve">Iowa 2010 published</t>
  </si>
  <si>
    <t xml:space="preserve">Price factors only</t>
  </si>
  <si>
    <t xml:space="preserve">Incidence factors only</t>
  </si>
  <si>
    <t xml:space="preserve">Track B strict</t>
  </si>
  <si>
    <t xml:space="preserve">Track C modernized</t>
  </si>
  <si>
    <t xml:space="preserve">Method effect (B - C)</t>
  </si>
  <si>
    <t xml:space="preserve">OVERLAPPING SUBSETS — NEVER SUM</t>
  </si>
  <si>
    <t xml:space="preserve">Iowa 2021 ($M)</t>
  </si>
  <si>
    <t xml:space="preserve">Share</t>
  </si>
  <si>
    <t xml:space="preserve">IA_12 — Iowa quality assurance</t>
  </si>
  <si>
    <t xml:space="preserve">Iowa acceptance tests and the Iowa-versus-national driver table.</t>
  </si>
  <si>
    <t xml:space="preserve">Test</t>
  </si>
  <si>
    <t xml:space="preserve">IA1. Iowa 2010 components reproduce the published $1,933.6M</t>
  </si>
  <si>
    <t xml:space="preserve">computed 1933.6 [calibrated by construction]</t>
  </si>
  <si>
    <t xml:space="preserve">IA2. Cost per resident reproduces the published $635</t>
  </si>
  <si>
    <t xml:space="preserve">$634.73</t>
  </si>
  <si>
    <t xml:space="preserve">IA3. Cost per drink reproduces the published $1.59</t>
  </si>
  <si>
    <t xml:space="preserve">$1.5900</t>
  </si>
  <si>
    <t xml:space="preserve">IA4. Allocator logic reproduces Iowa without large adjustment</t>
  </si>
  <si>
    <t xml:space="preserve">calibration factor 0.9256 — the unrescaled allocation gives $2089.1M against a published $1,933.6M</t>
  </si>
  <si>
    <t xml:space="preserve">IA5. Iowa cost share is below its population share, as published</t>
  </si>
  <si>
    <t xml:space="preserve">cost share 0.7765% vs population share 0.9867% — consistent with Iowa's $635 per resident against a national $807</t>
  </si>
  <si>
    <t xml:space="preserve">IA6. Back-solved 2010 per-capita ethanol is plausible vs national</t>
  </si>
  <si>
    <t xml:space="preserve">2.2973 gal vs national 2.26 — Iowa 1.7% higher</t>
  </si>
  <si>
    <t xml:space="preserve">IB1. Majority of components use an Iowa-specific incidence driver</t>
  </si>
  <si>
    <t xml:space="preserve">16 of 26 components use an Iowa driver; 10 fall back to the national driver and are flagged</t>
  </si>
  <si>
    <t xml:space="preserve">IB2. Category sums reconcile to the Iowa total</t>
  </si>
  <si>
    <t xml:space="preserve">IB3. Government does not exceed the Iowa societal total</t>
  </si>
  <si>
    <t xml:space="preserve">gov 1558.4 &lt; total 3565.6</t>
  </si>
  <si>
    <t xml:space="preserve">IB4. Federal + state/local sum to the Iowa government total</t>
  </si>
  <si>
    <t xml:space="preserve">IB5. Iowa mortality bridge sits below the strict ARDI ratio</t>
  </si>
  <si>
    <t xml:space="preserve">modernized 1.4720 vs strict 1.7022</t>
  </si>
  <si>
    <t xml:space="preserve">IB6. Bottom-up Iowa model agrees with the anchored method within 10%</t>
  </si>
  <si>
    <t xml:space="preserve">bottom-up $3565.6M vs anchored $3677.5M (-3.0%). These are independent constructions: the bottom-up model applies Iowa drivers component by component, the anchored method grows Iowa's published 2010 total at the national rate. Convergence is real validation.</t>
  </si>
  <si>
    <t xml:space="preserve">IB7. Both anchored methods sit below the burden-weighted allocation</t>
  </si>
  <si>
    <t xml:space="preserve">bottom-up $3565.6M and anchored $3677.5M both below allocation $4660.4M (-23.5% and -21.1%). The allocator leans on Iowa's 2021 alcohol-death share; Iowa's published 2010 cost per resident was the second-lowest in the country. The anchored figures are preferred.</t>
  </si>
  <si>
    <t xml:space="preserve">IA7. Iowa 2010 government share is computed line by line, not assumed</t>
  </si>
  <si>
    <t xml:space="preserve">$807.8M = 41.8% of Iowa's 2010 total, against 40.4% nationally. Iowa differs because its component mix differs, not because a different rate was applied.</t>
  </si>
  <si>
    <t xml:space="preserve">IC1. Iowa subsets are computed on the same calibrated attribution logic</t>
  </si>
  <si>
    <t xml:space="preserve">2010 Iowa binge share 77.2% against the national published 76.7%</t>
  </si>
  <si>
    <t xml:space="preserve">IC2. No Iowa subset exceeds the Iowa total</t>
  </si>
  <si>
    <t xml:space="preserve">IC3. Iowa underage share falls less steeply than the national</t>
  </si>
  <si>
    <t xml:space="preserve">Iowa underage rescale 0.7773 vs national 0.5770 — Iowa's underage drinking declined more slowly</t>
  </si>
  <si>
    <t xml:space="preserve">IOWA AGAINST THE NATION — key drivers</t>
  </si>
  <si>
    <t xml:space="preserve">Driver</t>
  </si>
  <si>
    <t xml:space="preserve">Iowa ratio</t>
  </si>
  <si>
    <t xml:space="preserve">United States</t>
  </si>
  <si>
    <t xml:space="preserve">US ratio</t>
  </si>
  <si>
    <t xml:space="preserve">Alcohol-induced deaths</t>
  </si>
  <si>
    <t xml:space="preserve">233 to 608</t>
  </si>
  <si>
    <t xml:space="preserve">25,692 to 54,258</t>
  </si>
  <si>
    <t xml:space="preserve">Iowa's increase outpaced the nation</t>
  </si>
  <si>
    <t xml:space="preserve">Alcohol-impaired traffic deaths</t>
  </si>
  <si>
    <t xml:space="preserve">90 to 118</t>
  </si>
  <si>
    <t xml:space="preserve">10,136 to 13,384</t>
  </si>
  <si>
    <t xml:space="preserve">essentially identical</t>
  </si>
  <si>
    <t xml:space="preserve">Prison population</t>
  </si>
  <si>
    <t xml:space="preserve">9,455 to 8,562</t>
  </si>
  <si>
    <t xml:space="preserve">2.27M to 1.78M</t>
  </si>
  <si>
    <t xml:space="preserve">Iowa's decline far shallower</t>
  </si>
  <si>
    <t xml:space="preserve">Underage past-month drinking</t>
  </si>
  <si>
    <t xml:space="preserve">28.6% to 19.8%</t>
  </si>
  <si>
    <t xml:space="preserve">26.3% to 15.1%</t>
  </si>
  <si>
    <t xml:space="preserve">Iowa improved more slowly</t>
  </si>
  <si>
    <t xml:space="preserve">Binge drinking, 12+</t>
  </si>
  <si>
    <t xml:space="preserve">26.6% to 23.7%</t>
  </si>
  <si>
    <t xml:space="preserve">23.1% to 21.5%</t>
  </si>
  <si>
    <t xml:space="preserve">Iowa higher in both years</t>
  </si>
  <si>
    <t xml:space="preserve">Alcohol use disorder</t>
  </si>
  <si>
    <t xml:space="preserve">7.78% to 10.95%</t>
  </si>
  <si>
    <t xml:space="preserve">7.0% to 10.6%</t>
  </si>
  <si>
    <t xml:space="preserve">Iowa rose less</t>
  </si>
  <si>
    <t xml:space="preserve">Live births</t>
  </si>
  <si>
    <t xml:space="preserve">38,715 to 36,783</t>
  </si>
  <si>
    <t xml:space="preserve">4.00M to 3.66M</t>
  </si>
  <si>
    <t xml:space="preserve">Iowa fell less</t>
  </si>
  <si>
    <t xml:space="preserve">Red = the Iowa driver pushes cost up faster than the national equivalent. Green = slower.</t>
  </si>
</sst>
</file>

<file path=xl/styles.xml><?xml version="1.0" encoding="utf-8"?>
<styleSheet xmlns="http://schemas.openxmlformats.org/spreadsheetml/2006/main">
  <numFmts count="12">
    <numFmt numFmtId="164" formatCode="General"/>
    <numFmt numFmtId="165" formatCode="#,##0"/>
    <numFmt numFmtId="166" formatCode="0.000000"/>
    <numFmt numFmtId="167" formatCode="\$#,##0.0;&quot;($&quot;#,##0.0\);\-"/>
    <numFmt numFmtId="168" formatCode="0.0%"/>
    <numFmt numFmtId="169" formatCode="\$#,##0.00;&quot;($&quot;#,##0.00\);\-"/>
    <numFmt numFmtId="170" formatCode="\$#,##0;&quot;($&quot;#,##0\);\-"/>
    <numFmt numFmtId="171" formatCode="0.0000"/>
    <numFmt numFmtId="172" formatCode="0.00%"/>
    <numFmt numFmtId="173" formatCode="0.00000000"/>
    <numFmt numFmtId="174" formatCode="0.0000%"/>
    <numFmt numFmtId="175" formatCode="0.000"/>
  </numFmts>
  <fonts count="13">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i val="true"/>
      <sz val="9"/>
      <color rgb="FF555555"/>
      <name val="Arial"/>
      <family val="0"/>
      <charset val="1"/>
    </font>
    <font>
      <b val="true"/>
      <sz val="10"/>
      <name val="Arial"/>
      <family val="0"/>
      <charset val="1"/>
    </font>
    <font>
      <sz val="10"/>
      <name val="Arial"/>
      <family val="0"/>
      <charset val="1"/>
    </font>
    <font>
      <b val="true"/>
      <sz val="11"/>
      <color rgb="FFFFFFFF"/>
      <name val="Arial"/>
      <family val="0"/>
      <charset val="1"/>
    </font>
    <font>
      <sz val="10"/>
      <color rgb="FF0000FF"/>
      <name val="Arial"/>
      <family val="0"/>
      <charset val="1"/>
    </font>
    <font>
      <sz val="10"/>
      <color rgb="FF000000"/>
      <name val="Arial"/>
      <family val="0"/>
      <charset val="1"/>
    </font>
    <font>
      <sz val="10"/>
      <name val="Arial"/>
      <family val="2"/>
    </font>
    <font>
      <sz val="10"/>
      <color rgb="FF008000"/>
      <name val="Arial"/>
      <family val="0"/>
      <charset val="1"/>
    </font>
  </fonts>
  <fills count="9">
    <fill>
      <patternFill patternType="none"/>
    </fill>
    <fill>
      <patternFill patternType="gray125"/>
    </fill>
    <fill>
      <patternFill patternType="solid">
        <fgColor rgb="FF1F3864"/>
        <bgColor rgb="FF333333"/>
      </patternFill>
    </fill>
    <fill>
      <patternFill patternType="solid">
        <fgColor rgb="FFFFFF00"/>
        <bgColor rgb="FFFFFF00"/>
      </patternFill>
    </fill>
    <fill>
      <patternFill patternType="solid">
        <fgColor rgb="FFFFEB9C"/>
        <bgColor rgb="FFF2F2F2"/>
      </patternFill>
    </fill>
    <fill>
      <patternFill patternType="solid">
        <fgColor rgb="FF44546A"/>
        <bgColor rgb="FF555555"/>
      </patternFill>
    </fill>
    <fill>
      <patternFill patternType="solid">
        <fgColor rgb="FFF2F2F2"/>
        <bgColor rgb="FFFFFFFF"/>
      </patternFill>
    </fill>
    <fill>
      <patternFill patternType="solid">
        <fgColor rgb="FFFFC7CE"/>
        <bgColor rgb="FFFFEB9C"/>
      </patternFill>
    </fill>
    <fill>
      <patternFill patternType="solid">
        <fgColor rgb="FFC6EFCE"/>
        <bgColor rgb="FFCC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7" fillId="3" borderId="1" xfId="0" applyFont="true" applyBorder="true" applyAlignment="true" applyProtection="false">
      <alignment horizontal="general" vertical="top" textRotation="0" wrapText="true" indent="0" shrinkToFit="false"/>
      <protection locked="true" hidden="false"/>
    </xf>
    <xf numFmtId="164" fontId="6" fillId="4"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true" applyProtection="false">
      <alignment horizontal="general" vertical="center" textRotation="0" wrapText="true" indent="0" shrinkToFit="false"/>
      <protection locked="true" hidden="false"/>
    </xf>
    <xf numFmtId="165" fontId="9"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6" fontId="9" fillId="0" borderId="1" xfId="0" applyFont="true" applyBorder="true" applyAlignment="false" applyProtection="false">
      <alignment horizontal="general" vertical="bottom" textRotation="0" wrapText="false" indent="0" shrinkToFit="false"/>
      <protection locked="true" hidden="false"/>
    </xf>
    <xf numFmtId="166" fontId="9" fillId="3" borderId="1" xfId="0" applyFont="true" applyBorder="true" applyAlignment="false" applyProtection="false">
      <alignment horizontal="general" vertical="bottom" textRotation="0" wrapText="false" indent="0" shrinkToFit="false"/>
      <protection locked="true" hidden="false"/>
    </xf>
    <xf numFmtId="165" fontId="9" fillId="3" borderId="1" xfId="0" applyFont="true" applyBorder="true" applyAlignment="false" applyProtection="false">
      <alignment horizontal="general" vertical="bottom" textRotation="0" wrapText="false" indent="0" shrinkToFit="false"/>
      <protection locked="true" hidden="false"/>
    </xf>
    <xf numFmtId="167" fontId="9" fillId="0" borderId="1" xfId="0" applyFont="true" applyBorder="true" applyAlignment="false" applyProtection="false">
      <alignment horizontal="general" vertical="bottom" textRotation="0" wrapText="false" indent="0" shrinkToFit="false"/>
      <protection locked="true" hidden="false"/>
    </xf>
    <xf numFmtId="164" fontId="6" fillId="6" borderId="1" xfId="0" applyFont="true" applyBorder="true" applyAlignment="false" applyProtection="false">
      <alignment horizontal="general" vertical="bottom" textRotation="0" wrapText="false" indent="0" shrinkToFit="false"/>
      <protection locked="true" hidden="false"/>
    </xf>
    <xf numFmtId="167" fontId="10" fillId="0" borderId="1" xfId="0" applyFont="true" applyBorder="true" applyAlignment="false" applyProtection="false">
      <alignment horizontal="general" vertical="bottom" textRotation="0" wrapText="false" indent="0" shrinkToFit="false"/>
      <protection locked="true" hidden="false"/>
    </xf>
    <xf numFmtId="167" fontId="6" fillId="0" borderId="1" xfId="0" applyFont="true" applyBorder="true" applyAlignment="false" applyProtection="false">
      <alignment horizontal="general" vertical="bottom" textRotation="0" wrapText="false" indent="0" shrinkToFit="false"/>
      <protection locked="true" hidden="false"/>
    </xf>
    <xf numFmtId="168" fontId="10" fillId="0" borderId="1" xfId="0" applyFont="true" applyBorder="true" applyAlignment="false" applyProtection="false">
      <alignment horizontal="general" vertical="bottom" textRotation="0" wrapText="false" indent="0" shrinkToFit="false"/>
      <protection locked="true" hidden="false"/>
    </xf>
    <xf numFmtId="169" fontId="10" fillId="0" borderId="1" xfId="0" applyFont="true" applyBorder="true" applyAlignment="false" applyProtection="false">
      <alignment horizontal="general" vertical="bottom" textRotation="0" wrapText="false" indent="0" shrinkToFit="false"/>
      <protection locked="true" hidden="false"/>
    </xf>
    <xf numFmtId="170" fontId="9" fillId="0"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4" fontId="6" fillId="7" borderId="1" xfId="0" applyFont="true" applyBorder="true" applyAlignment="false" applyProtection="false">
      <alignment horizontal="general" vertical="bottom" textRotation="0" wrapText="false" indent="0" shrinkToFit="false"/>
      <protection locked="true" hidden="false"/>
    </xf>
    <xf numFmtId="164" fontId="6" fillId="8" borderId="1" xfId="0" applyFont="true" applyBorder="true" applyAlignment="false" applyProtection="false">
      <alignment horizontal="general" vertical="bottom" textRotation="0" wrapText="false" indent="0" shrinkToFit="false"/>
      <protection locked="true" hidden="false"/>
    </xf>
    <xf numFmtId="171" fontId="9" fillId="0" borderId="1" xfId="0" applyFont="true" applyBorder="true" applyAlignment="false" applyProtection="false">
      <alignment horizontal="general" vertical="bottom" textRotation="0" wrapText="false" indent="0" shrinkToFit="false"/>
      <protection locked="true" hidden="false"/>
    </xf>
    <xf numFmtId="165" fontId="12" fillId="0" borderId="1"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7" fontId="12" fillId="0"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false" applyProtection="false">
      <alignment horizontal="general" vertical="bottom" textRotation="0" wrapText="false" indent="0" shrinkToFit="false"/>
      <protection locked="true" hidden="false"/>
    </xf>
    <xf numFmtId="167" fontId="6" fillId="6" borderId="1" xfId="0" applyFont="true" applyBorder="true" applyAlignment="false" applyProtection="false">
      <alignment horizontal="general" vertical="bottom" textRotation="0" wrapText="false" indent="0" shrinkToFit="false"/>
      <protection locked="true" hidden="false"/>
    </xf>
    <xf numFmtId="167" fontId="6" fillId="3" borderId="1" xfId="0" applyFont="true" applyBorder="true" applyAlignment="false" applyProtection="false">
      <alignment horizontal="general" vertical="bottom" textRotation="0" wrapText="false" indent="0" shrinkToFit="false"/>
      <protection locked="true" hidden="false"/>
    </xf>
    <xf numFmtId="168" fontId="9" fillId="0" borderId="1" xfId="0" applyFont="true" applyBorder="true" applyAlignment="false" applyProtection="false">
      <alignment horizontal="general" vertical="bottom" textRotation="0" wrapText="false" indent="0" shrinkToFit="false"/>
      <protection locked="true" hidden="false"/>
    </xf>
    <xf numFmtId="164" fontId="5" fillId="7" borderId="1" xfId="0" applyFont="true" applyBorder="true" applyAlignment="false" applyProtection="false">
      <alignment horizontal="general" vertical="bottom" textRotation="0" wrapText="false" indent="0" shrinkToFit="false"/>
      <protection locked="true" hidden="false"/>
    </xf>
    <xf numFmtId="164" fontId="5" fillId="8" borderId="1" xfId="0" applyFont="true" applyBorder="true" applyAlignment="false" applyProtection="false">
      <alignment horizontal="general" vertical="bottom" textRotation="0" wrapText="false" indent="0" shrinkToFit="false"/>
      <protection locked="true" hidden="false"/>
    </xf>
    <xf numFmtId="164" fontId="6" fillId="7" borderId="1" xfId="0" applyFont="true" applyBorder="true" applyAlignment="true" applyProtection="false">
      <alignment horizontal="general" vertical="center" textRotation="0" wrapText="true" indent="0" shrinkToFit="false"/>
      <protection locked="true" hidden="false"/>
    </xf>
    <xf numFmtId="167" fontId="10" fillId="7"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6" fontId="10" fillId="3" borderId="1" xfId="0" applyFont="true" applyBorder="true" applyAlignment="false" applyProtection="false">
      <alignment horizontal="general" vertical="bottom" textRotation="0" wrapText="false" indent="0" shrinkToFit="false"/>
      <protection locked="true" hidden="false"/>
    </xf>
    <xf numFmtId="169" fontId="9" fillId="0" borderId="1" xfId="0" applyFont="true" applyBorder="true" applyAlignment="false" applyProtection="false">
      <alignment horizontal="general" vertical="bottom" textRotation="0" wrapText="false" indent="0" shrinkToFit="false"/>
      <protection locked="true" hidden="false"/>
    </xf>
    <xf numFmtId="172" fontId="10" fillId="0" borderId="1" xfId="0" applyFont="true" applyBorder="true" applyAlignment="false" applyProtection="false">
      <alignment horizontal="general" vertical="bottom" textRotation="0" wrapText="false" indent="0" shrinkToFit="false"/>
      <protection locked="true" hidden="false"/>
    </xf>
    <xf numFmtId="173" fontId="9" fillId="0" borderId="1" xfId="0" applyFont="true" applyBorder="true" applyAlignment="false" applyProtection="false">
      <alignment horizontal="general" vertical="bottom" textRotation="0" wrapText="false" indent="0" shrinkToFit="false"/>
      <protection locked="true" hidden="false"/>
    </xf>
    <xf numFmtId="165" fontId="6" fillId="3" borderId="1" xfId="0" applyFont="true" applyBorder="true" applyAlignment="false" applyProtection="false">
      <alignment horizontal="general" vertical="bottom" textRotation="0" wrapText="false" indent="0" shrinkToFit="false"/>
      <protection locked="true" hidden="false"/>
    </xf>
    <xf numFmtId="169" fontId="6" fillId="3" borderId="1" xfId="0" applyFont="true" applyBorder="true" applyAlignment="false" applyProtection="false">
      <alignment horizontal="general" vertical="bottom" textRotation="0" wrapText="false" indent="0" shrinkToFit="false"/>
      <protection locked="true" hidden="false"/>
    </xf>
    <xf numFmtId="172" fontId="6" fillId="3" borderId="1" xfId="0" applyFont="true" applyBorder="true" applyAlignment="false" applyProtection="false">
      <alignment horizontal="general" vertical="bottom" textRotation="0" wrapText="false" indent="0" shrinkToFit="false"/>
      <protection locked="true" hidden="false"/>
    </xf>
    <xf numFmtId="164" fontId="7" fillId="7" borderId="1" xfId="0" applyFont="true" applyBorder="true" applyAlignment="false" applyProtection="false">
      <alignment horizontal="general" vertical="bottom" textRotation="0" wrapText="false" indent="0" shrinkToFit="false"/>
      <protection locked="true" hidden="false"/>
    </xf>
    <xf numFmtId="169" fontId="10" fillId="7" borderId="1" xfId="0" applyFont="true" applyBorder="true" applyAlignment="false" applyProtection="false">
      <alignment horizontal="general" vertical="bottom" textRotation="0" wrapText="false" indent="0" shrinkToFit="false"/>
      <protection locked="true" hidden="false"/>
    </xf>
    <xf numFmtId="168" fontId="10" fillId="7" borderId="1" xfId="0" applyFont="true" applyBorder="true" applyAlignment="false" applyProtection="false">
      <alignment horizontal="general" vertical="bottom" textRotation="0" wrapText="false" indent="0"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68" fontId="6" fillId="3" borderId="1" xfId="0" applyFont="true" applyBorder="true" applyAlignment="false" applyProtection="false">
      <alignment horizontal="general" vertical="bottom" textRotation="0" wrapText="false" indent="0" shrinkToFit="false"/>
      <protection locked="true" hidden="false"/>
    </xf>
    <xf numFmtId="174" fontId="9"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75" fontId="6" fillId="7" borderId="1" xfId="0" applyFont="true" applyBorder="true" applyAlignment="false" applyProtection="false">
      <alignment horizontal="general" vertical="bottom" textRotation="0" wrapText="false" indent="0" shrinkToFit="false"/>
      <protection locked="true" hidden="false"/>
    </xf>
    <xf numFmtId="175" fontId="7" fillId="0" borderId="1" xfId="0" applyFont="true" applyBorder="true" applyAlignment="false" applyProtection="false">
      <alignment horizontal="general" vertical="bottom" textRotation="0" wrapText="false" indent="0" shrinkToFit="false"/>
      <protection locked="true" hidden="false"/>
    </xf>
    <xf numFmtId="175" fontId="6" fillId="8"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555555"/>
      <rgbColor rgb="FF969696"/>
      <rgbColor rgb="FF1F3864"/>
      <rgbColor rgb="FF339966"/>
      <rgbColor rgb="FF003300"/>
      <rgbColor rgb="FF333300"/>
      <rgbColor rgb="FF993300"/>
      <rgbColor rgb="FF993366"/>
      <rgbColor rgb="FF44546A"/>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1.xml.rels><?xml version="1.0" encoding="UTF-8"?>
<Relationships xmlns="http://schemas.openxmlformats.org/package/2006/relationships"><Relationship Id="rId1" Type="http://schemas.openxmlformats.org/officeDocument/2006/relationships/comments" Target="../comments11.xml"/><Relationship Id="rId2" Type="http://schemas.openxmlformats.org/officeDocument/2006/relationships/vmlDrawing" Target="../drawings/vmlDrawing4.vml"/>
</Relationships>
</file>

<file path=xl/worksheets/_rels/sheet17.xml.rels><?xml version="1.0" encoding="UTF-8"?>
<Relationships xmlns="http://schemas.openxmlformats.org/package/2006/relationships"><Relationship Id="rId1" Type="http://schemas.openxmlformats.org/officeDocument/2006/relationships/comments" Target="../comments17.xml"/><Relationship Id="rId2" Type="http://schemas.openxmlformats.org/officeDocument/2006/relationships/vmlDrawing" Target="../drawings/vmlDrawing5.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1.v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vmlDrawing" Target="../drawings/vmlDrawing2.v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88"/>
  </cols>
  <sheetData>
    <row r="1" customFormat="false" ht="25.5" hidden="false" customHeight="true" outlineLevel="0" collapsed="false">
      <c r="A1" s="1" t="s">
        <v>0</v>
      </c>
      <c r="B1" s="1"/>
      <c r="C1" s="1"/>
      <c r="D1" s="1"/>
      <c r="E1" s="1"/>
      <c r="F1" s="1"/>
      <c r="G1" s="1"/>
      <c r="H1" s="1"/>
      <c r="I1" s="1"/>
      <c r="J1" s="1"/>
      <c r="K1" s="1"/>
      <c r="L1" s="1"/>
      <c r="M1" s="1"/>
      <c r="N1" s="1"/>
    </row>
    <row r="2" customFormat="false" ht="15" hidden="false" customHeight="false" outlineLevel="0" collapsed="false">
      <c r="A2" s="2" t="s">
        <v>1</v>
      </c>
      <c r="B2" s="2"/>
      <c r="C2" s="2"/>
      <c r="D2" s="2"/>
      <c r="E2" s="2"/>
      <c r="F2" s="2"/>
      <c r="G2" s="2"/>
      <c r="H2" s="2"/>
      <c r="I2" s="2"/>
      <c r="J2" s="2"/>
      <c r="K2" s="2"/>
      <c r="L2" s="2"/>
      <c r="M2" s="2"/>
      <c r="N2" s="2"/>
    </row>
    <row r="4" customFormat="false" ht="27.75" hidden="false" customHeight="true" outlineLevel="0" collapsed="false">
      <c r="A4" s="3" t="s">
        <v>2</v>
      </c>
      <c r="B4" s="4" t="s">
        <v>3</v>
      </c>
    </row>
    <row r="5" customFormat="false" ht="27.75" hidden="false" customHeight="true" outlineLevel="0" collapsed="false">
      <c r="A5" s="3" t="s">
        <v>4</v>
      </c>
      <c r="B5" s="4" t="s">
        <v>5</v>
      </c>
    </row>
    <row r="6" customFormat="false" ht="27.75" hidden="false" customHeight="true" outlineLevel="0" collapsed="false">
      <c r="A6" s="3" t="s">
        <v>6</v>
      </c>
      <c r="B6" s="4" t="s">
        <v>7</v>
      </c>
    </row>
    <row r="7" customFormat="false" ht="27.75" hidden="false" customHeight="true" outlineLevel="0" collapsed="false">
      <c r="A7" s="3" t="s">
        <v>8</v>
      </c>
      <c r="B7" s="4" t="s">
        <v>9</v>
      </c>
    </row>
    <row r="8" customFormat="false" ht="27.75" hidden="false" customHeight="true" outlineLevel="0" collapsed="false">
      <c r="A8" s="3" t="s">
        <v>10</v>
      </c>
      <c r="B8" s="4" t="s">
        <v>11</v>
      </c>
    </row>
    <row r="9" customFormat="false" ht="27.75" hidden="false" customHeight="true" outlineLevel="0" collapsed="false">
      <c r="A9" s="3" t="s">
        <v>12</v>
      </c>
      <c r="B9" s="4" t="s">
        <v>13</v>
      </c>
    </row>
    <row r="10" customFormat="false" ht="27.75" hidden="false" customHeight="true" outlineLevel="0" collapsed="false">
      <c r="A10" s="3" t="s">
        <v>14</v>
      </c>
      <c r="B10" s="4" t="s">
        <v>15</v>
      </c>
    </row>
    <row r="11" customFormat="false" ht="27.75" hidden="false" customHeight="true" outlineLevel="0" collapsed="false"/>
    <row r="12" customFormat="false" ht="27.75" hidden="false" customHeight="true" outlineLevel="0" collapsed="false">
      <c r="A12" s="3" t="s">
        <v>16</v>
      </c>
      <c r="B12" s="4" t="s">
        <v>17</v>
      </c>
    </row>
    <row r="13" customFormat="false" ht="27.75" hidden="false" customHeight="true" outlineLevel="0" collapsed="false">
      <c r="A13" s="3" t="s">
        <v>18</v>
      </c>
      <c r="B13" s="4" t="s">
        <v>19</v>
      </c>
    </row>
    <row r="14" customFormat="false" ht="27.75" hidden="false" customHeight="true" outlineLevel="0" collapsed="false">
      <c r="A14" s="3" t="s">
        <v>20</v>
      </c>
      <c r="B14" s="4" t="s">
        <v>21</v>
      </c>
    </row>
    <row r="15" customFormat="false" ht="27.75" hidden="false" customHeight="true" outlineLevel="0" collapsed="false">
      <c r="A15" s="3" t="s">
        <v>22</v>
      </c>
      <c r="B15" s="4" t="s">
        <v>23</v>
      </c>
    </row>
    <row r="16" customFormat="false" ht="27.75" hidden="false" customHeight="true" outlineLevel="0" collapsed="false">
      <c r="A16" s="3" t="s">
        <v>24</v>
      </c>
      <c r="B16" s="4" t="s">
        <v>25</v>
      </c>
    </row>
    <row r="17" customFormat="false" ht="27.75" hidden="false" customHeight="true" outlineLevel="0" collapsed="false">
      <c r="A17" s="3" t="s">
        <v>26</v>
      </c>
      <c r="B17" s="4" t="s">
        <v>27</v>
      </c>
    </row>
    <row r="18" customFormat="false" ht="27.75" hidden="false" customHeight="true" outlineLevel="0" collapsed="false"/>
    <row r="19" customFormat="false" ht="27.75" hidden="false" customHeight="true" outlineLevel="0" collapsed="false">
      <c r="A19" s="3" t="s">
        <v>28</v>
      </c>
      <c r="B19" s="4" t="s">
        <v>29</v>
      </c>
    </row>
    <row r="20" customFormat="false" ht="27.75" hidden="false" customHeight="true" outlineLevel="0" collapsed="false">
      <c r="A20" s="3" t="s">
        <v>30</v>
      </c>
      <c r="B20" s="4" t="s">
        <v>31</v>
      </c>
    </row>
    <row r="22" customFormat="false" ht="15" hidden="false" customHeight="false" outlineLevel="0" collapsed="false">
      <c r="A22" s="5" t="s">
        <v>32</v>
      </c>
    </row>
    <row r="23" customFormat="false" ht="15" hidden="false" customHeight="true" outlineLevel="0" collapsed="false">
      <c r="A23" s="6" t="s">
        <v>33</v>
      </c>
      <c r="B23" s="6"/>
    </row>
    <row r="24" customFormat="false" ht="15" hidden="false" customHeight="false" outlineLevel="0" collapsed="false">
      <c r="A24" s="6"/>
      <c r="B24" s="6"/>
    </row>
    <row r="26" customFormat="false" ht="15" hidden="false" customHeight="false" outlineLevel="0" collapsed="false">
      <c r="A26" s="7" t="s">
        <v>34</v>
      </c>
    </row>
    <row r="27" customFormat="false" ht="15" hidden="false" customHeight="true" outlineLevel="0" collapsed="false">
      <c r="A27" s="4" t="s">
        <v>35</v>
      </c>
      <c r="B27" s="4"/>
    </row>
    <row r="28" customFormat="false" ht="15" hidden="false" customHeight="false" outlineLevel="0" collapsed="false">
      <c r="A28" s="4"/>
      <c r="B28" s="4"/>
    </row>
    <row r="29" customFormat="false" ht="15" hidden="false" customHeight="true" outlineLevel="0" collapsed="false">
      <c r="A29" s="4" t="s">
        <v>36</v>
      </c>
      <c r="B29" s="4"/>
    </row>
    <row r="30" customFormat="false" ht="15" hidden="false" customHeight="false" outlineLevel="0" collapsed="false">
      <c r="A30" s="4"/>
      <c r="B30" s="4"/>
    </row>
    <row r="31" customFormat="false" ht="15" hidden="false" customHeight="true" outlineLevel="0" collapsed="false">
      <c r="A31" s="4" t="s">
        <v>37</v>
      </c>
      <c r="B31" s="4"/>
    </row>
    <row r="32" customFormat="false" ht="15" hidden="false" customHeight="false" outlineLevel="0" collapsed="false">
      <c r="A32" s="4"/>
      <c r="B32" s="4"/>
    </row>
  </sheetData>
  <mergeCells count="6">
    <mergeCell ref="A1:N1"/>
    <mergeCell ref="A2:N2"/>
    <mergeCell ref="A23:B24"/>
    <mergeCell ref="A27:B28"/>
    <mergeCell ref="A29:B30"/>
    <mergeCell ref="A31:B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3" min="2" style="0" width="20"/>
    <col collapsed="false" customWidth="true" hidden="false" outlineLevel="0" max="4" min="4" style="0" width="14"/>
    <col collapsed="false" customWidth="true" hidden="false" outlineLevel="0" max="5" min="5" style="0" width="70"/>
  </cols>
  <sheetData>
    <row r="1" customFormat="false" ht="25.5" hidden="false" customHeight="true" outlineLevel="0" collapsed="false">
      <c r="A1" s="1" t="s">
        <v>396</v>
      </c>
      <c r="B1" s="1"/>
      <c r="C1" s="1"/>
      <c r="D1" s="1"/>
      <c r="E1" s="1"/>
      <c r="F1" s="1"/>
      <c r="G1" s="1"/>
      <c r="H1" s="1"/>
      <c r="I1" s="1"/>
      <c r="J1" s="1"/>
      <c r="K1" s="1"/>
      <c r="L1" s="1"/>
      <c r="M1" s="1"/>
      <c r="N1" s="1"/>
    </row>
    <row r="2" customFormat="false" ht="15" hidden="false" customHeight="false" outlineLevel="0" collapsed="false">
      <c r="A2" s="2" t="s">
        <v>397</v>
      </c>
      <c r="B2" s="2"/>
      <c r="C2" s="2"/>
      <c r="D2" s="2"/>
      <c r="E2" s="2"/>
      <c r="F2" s="2"/>
      <c r="G2" s="2"/>
      <c r="H2" s="2"/>
      <c r="I2" s="2"/>
      <c r="J2" s="2"/>
      <c r="K2" s="2"/>
      <c r="L2" s="2"/>
      <c r="M2" s="2"/>
      <c r="N2" s="2"/>
    </row>
    <row r="4" customFormat="false" ht="30" hidden="false" customHeight="true" outlineLevel="0" collapsed="false">
      <c r="A4" s="8" t="s">
        <v>398</v>
      </c>
      <c r="B4" s="8" t="s">
        <v>399</v>
      </c>
      <c r="C4" s="8" t="s">
        <v>400</v>
      </c>
      <c r="D4" s="8" t="s">
        <v>42</v>
      </c>
      <c r="E4" s="8" t="s">
        <v>401</v>
      </c>
    </row>
    <row r="5" customFormat="false" ht="31.5" hidden="false" customHeight="true" outlineLevel="0" collapsed="false">
      <c r="A5" s="3" t="s">
        <v>402</v>
      </c>
      <c r="B5" s="9" t="n">
        <v>308745538</v>
      </c>
      <c r="C5" s="9" t="n">
        <v>331893745</v>
      </c>
      <c r="D5" s="10" t="s">
        <v>45</v>
      </c>
      <c r="E5" s="11" t="s">
        <v>403</v>
      </c>
    </row>
    <row r="6" customFormat="false" ht="31.5" hidden="false" customHeight="true" outlineLevel="0" collapsed="false">
      <c r="A6" s="3" t="s">
        <v>404</v>
      </c>
      <c r="B6" s="9" t="n">
        <v>252.1</v>
      </c>
      <c r="C6" s="9" t="n">
        <v>276.24</v>
      </c>
      <c r="D6" s="10" t="s">
        <v>405</v>
      </c>
      <c r="E6" s="11" t="s">
        <v>406</v>
      </c>
    </row>
    <row r="7" customFormat="false" ht="31.5" hidden="false" customHeight="true" outlineLevel="0" collapsed="false">
      <c r="A7" s="3" t="s">
        <v>407</v>
      </c>
      <c r="B7" s="25" t="n">
        <v>2.26</v>
      </c>
      <c r="C7" s="25" t="n">
        <v>2.54</v>
      </c>
      <c r="D7" s="10" t="s">
        <v>52</v>
      </c>
      <c r="E7" s="11" t="s">
        <v>408</v>
      </c>
    </row>
    <row r="8" customFormat="false" ht="31.5" hidden="false" customHeight="true" outlineLevel="0" collapsed="false">
      <c r="A8" s="3" t="s">
        <v>409</v>
      </c>
      <c r="B8" s="9" t="n">
        <v>569.75</v>
      </c>
      <c r="C8" s="9" t="n">
        <v>701.65</v>
      </c>
      <c r="D8" s="10" t="s">
        <v>410</v>
      </c>
      <c r="E8" s="11" t="s">
        <v>411</v>
      </c>
    </row>
    <row r="9" customFormat="false" ht="31.5" hidden="false" customHeight="true" outlineLevel="0" collapsed="false">
      <c r="A9" s="3" t="s">
        <v>412</v>
      </c>
      <c r="B9" s="9" t="n">
        <v>121.4763</v>
      </c>
      <c r="C9" s="9" t="n">
        <v>149.5998</v>
      </c>
      <c r="D9" s="10" t="s">
        <v>413</v>
      </c>
      <c r="E9" s="11" t="s">
        <v>414</v>
      </c>
    </row>
    <row r="11" customFormat="false" ht="15" hidden="false" customHeight="false" outlineLevel="0" collapsed="false">
      <c r="A11" s="16" t="s">
        <v>415</v>
      </c>
    </row>
    <row r="12" customFormat="false" ht="15" hidden="false" customHeight="false" outlineLevel="0" collapsed="false">
      <c r="A12" s="3" t="s">
        <v>416</v>
      </c>
      <c r="B12" s="15" t="n">
        <v>249026.4</v>
      </c>
      <c r="C12" s="28" t="n">
        <f aca="false">06_COMPONENT_CALC!H35</f>
        <v>473619.729626556</v>
      </c>
    </row>
    <row r="13" customFormat="false" ht="15" hidden="false" customHeight="false" outlineLevel="0" collapsed="false">
      <c r="A13" s="3" t="s">
        <v>417</v>
      </c>
      <c r="B13" s="15" t="n">
        <v>100674.8</v>
      </c>
      <c r="C13" s="28" t="n">
        <f aca="false">07_GOVERNMENT_SHARE!F32</f>
        <v>198303.409040721</v>
      </c>
    </row>
    <row r="14" customFormat="false" ht="15" hidden="false" customHeight="false" outlineLevel="0" collapsed="false">
      <c r="A14" s="3" t="s">
        <v>24</v>
      </c>
      <c r="B14" s="20" t="n">
        <f aca="false">B12*1000000/B5</f>
        <v>806.574895343103</v>
      </c>
      <c r="C14" s="20" t="n">
        <f aca="false">C12*1000000/C5</f>
        <v>1427.02216224821</v>
      </c>
    </row>
    <row r="15" customFormat="false" ht="15" hidden="false" customHeight="false" outlineLevel="0" collapsed="false">
      <c r="A15" s="3" t="s">
        <v>26</v>
      </c>
      <c r="B15" s="20" t="n">
        <f aca="false">B12/(B9*1000)</f>
        <v>2.04999987651912</v>
      </c>
      <c r="C15" s="20" t="n">
        <f aca="false">C12/(C9*1000)</f>
        <v>3.165911516102</v>
      </c>
    </row>
    <row r="16" customFormat="false" ht="15" hidden="false" customHeight="false" outlineLevel="0" collapsed="false">
      <c r="A16" s="3" t="s">
        <v>418</v>
      </c>
      <c r="B16" s="20" t="n">
        <f aca="false">B13/(B9*1000)</f>
        <v>0.828760836475922</v>
      </c>
      <c r="C16" s="20" t="n">
        <f aca="false">C13/(C9*1000)</f>
        <v>1.32555931920177</v>
      </c>
    </row>
    <row r="18" customFormat="false" ht="15" hidden="false" customHeight="false" outlineLevel="0" collapsed="false">
      <c r="A18" s="7" t="s">
        <v>419</v>
      </c>
    </row>
    <row r="19" customFormat="false" ht="15" hidden="false" customHeight="true" outlineLevel="0" collapsed="false">
      <c r="A19" s="11" t="s">
        <v>420</v>
      </c>
      <c r="B19" s="11"/>
      <c r="C19" s="11"/>
      <c r="D19" s="11"/>
      <c r="E19" s="11"/>
    </row>
    <row r="20" customFormat="false" ht="15" hidden="false" customHeight="false" outlineLevel="0" collapsed="false">
      <c r="A20" s="11"/>
      <c r="B20" s="11"/>
      <c r="C20" s="11"/>
      <c r="D20" s="11"/>
      <c r="E20" s="11"/>
    </row>
  </sheetData>
  <mergeCells count="3">
    <mergeCell ref="A1:N1"/>
    <mergeCell ref="A2:N2"/>
    <mergeCell ref="A19:E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9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9"/>
    <col collapsed="false" customWidth="true" hidden="false" outlineLevel="0" max="3" min="3" style="0" width="15"/>
    <col collapsed="false" customWidth="true" hidden="false" outlineLevel="0" max="4" min="4" style="0" width="14"/>
    <col collapsed="false" customWidth="true" hidden="false" outlineLevel="0" max="7" min="5" style="0" width="16"/>
    <col collapsed="false" customWidth="true" hidden="false" outlineLevel="0" max="8" min="8" style="0" width="14"/>
    <col collapsed="false" customWidth="true" hidden="false" outlineLevel="0" max="9" min="9" style="0" width="15"/>
    <col collapsed="false" customWidth="true" hidden="false" outlineLevel="0" max="17" min="11" style="0" width="15"/>
    <col collapsed="false" customWidth="true" hidden="false" outlineLevel="0" max="21" min="18" style="0" width="17"/>
  </cols>
  <sheetData>
    <row r="1" customFormat="false" ht="25.5" hidden="false" customHeight="true" outlineLevel="0" collapsed="false">
      <c r="A1" s="1" t="s">
        <v>421</v>
      </c>
      <c r="B1" s="1"/>
      <c r="C1" s="1"/>
      <c r="D1" s="1"/>
      <c r="E1" s="1"/>
      <c r="F1" s="1"/>
      <c r="G1" s="1"/>
      <c r="H1" s="1"/>
      <c r="I1" s="1"/>
      <c r="J1" s="1"/>
      <c r="K1" s="1"/>
      <c r="L1" s="1"/>
      <c r="M1" s="1"/>
      <c r="N1" s="1"/>
    </row>
    <row r="2" customFormat="false" ht="15" hidden="false" customHeight="false" outlineLevel="0" collapsed="false">
      <c r="A2" s="2" t="s">
        <v>422</v>
      </c>
      <c r="B2" s="2"/>
      <c r="C2" s="2"/>
      <c r="D2" s="2"/>
      <c r="E2" s="2"/>
      <c r="F2" s="2"/>
      <c r="G2" s="2"/>
      <c r="H2" s="2"/>
      <c r="I2" s="2"/>
      <c r="J2" s="2"/>
      <c r="K2" s="2"/>
      <c r="L2" s="2"/>
      <c r="M2" s="2"/>
      <c r="N2" s="2"/>
    </row>
    <row r="3" customFormat="false" ht="15" hidden="false" customHeight="false" outlineLevel="0" collapsed="false">
      <c r="K3" s="27" t="s">
        <v>423</v>
      </c>
    </row>
    <row r="4" customFormat="false" ht="15" hidden="false" customHeight="false" outlineLevel="0" collapsed="false">
      <c r="K4" s="37" t="s">
        <v>226</v>
      </c>
      <c r="L4" s="37" t="s">
        <v>225</v>
      </c>
      <c r="M4" s="37" t="s">
        <v>230</v>
      </c>
      <c r="N4" s="37" t="s">
        <v>224</v>
      </c>
      <c r="O4" s="37" t="s">
        <v>227</v>
      </c>
      <c r="P4" s="37" t="s">
        <v>228</v>
      </c>
      <c r="Q4" s="37" t="s">
        <v>229</v>
      </c>
      <c r="R4" s="37" t="s">
        <v>424</v>
      </c>
      <c r="S4" s="37" t="s">
        <v>425</v>
      </c>
      <c r="T4" s="37" t="s">
        <v>426</v>
      </c>
      <c r="U4" s="37" t="s">
        <v>427</v>
      </c>
    </row>
    <row r="5" customFormat="false" ht="15" hidden="false" customHeight="false" outlineLevel="0" collapsed="false">
      <c r="K5" s="17" t="n">
        <f aca="false">SUMIF(06_COMPONENT_CALC!$L$5:$L$30,"pop",06_COMPONENT_CALC!$H$5:$H$30)</f>
        <v>18437.3218685159</v>
      </c>
      <c r="L5" s="17" t="n">
        <f aca="false">SUMIF(06_COMPONENT_CALC!$L$5:$L$30,"burden",06_COMPONENT_CALC!$H$5:$H$30)</f>
        <v>20529.2446411725</v>
      </c>
      <c r="M5" s="17" t="n">
        <f aca="false">SUMIF(06_COMPONENT_CALC!$L$5:$L$30,"ethanol",06_COMPONENT_CALC!$H$5:$H$30)</f>
        <v>42166.6146551555</v>
      </c>
      <c r="N5" s="17" t="n">
        <f aca="false">SUMIF(06_COMPONENT_CALC!$L$5:$L$30,"burden_pop",06_COMPONENT_CALC!$H$5:$H$30)</f>
        <v>20164.5132316976</v>
      </c>
      <c r="O5" s="17" t="n">
        <f aca="false">SUMIF(06_COMPONENT_CALC!$L$5:$L$30,"burden_wage",06_COMPONENT_CALC!$H$5:$H$30)</f>
        <v>349103.955077684</v>
      </c>
      <c r="P5" s="17" t="n">
        <f aca="false">SUMIF(06_COMPONENT_CALC!$L$5:$L$30,"ethanol_wage",06_COMPONENT_CALC!$H$5:$H$30)</f>
        <v>16161.4896252356</v>
      </c>
      <c r="Q5" s="17" t="n">
        <f aca="false">SUMIF(06_COMPONENT_CALC!$L$5:$L$30,"pop_wage",06_COMPONENT_CALC!$H$5:$H$30)</f>
        <v>7056.59052709496</v>
      </c>
      <c r="T5" s="38" t="n">
        <f aca="false">06_COMPONENT_CALC!H35/02_2010_BASELINE!D36</f>
        <v>1.90188485814384</v>
      </c>
    </row>
    <row r="6" customFormat="false" ht="15" hidden="false" customHeight="false" outlineLevel="0" collapsed="false">
      <c r="T6" s="38" t="n">
        <f aca="false">06_COMPONENT_CALC!H35/(SUM(B8:B58)*T5)</f>
        <v>1.00000080312802</v>
      </c>
    </row>
    <row r="7" customFormat="false" ht="30" hidden="false" customHeight="true" outlineLevel="0" collapsed="false">
      <c r="A7" s="8" t="s">
        <v>428</v>
      </c>
      <c r="B7" s="8" t="s">
        <v>429</v>
      </c>
      <c r="C7" s="8" t="s">
        <v>430</v>
      </c>
      <c r="D7" s="8" t="s">
        <v>431</v>
      </c>
      <c r="E7" s="8" t="s">
        <v>432</v>
      </c>
      <c r="F7" s="8" t="s">
        <v>237</v>
      </c>
      <c r="G7" s="8" t="s">
        <v>24</v>
      </c>
      <c r="H7" s="8" t="s">
        <v>433</v>
      </c>
      <c r="I7" s="8" t="s">
        <v>434</v>
      </c>
      <c r="K7" s="37" t="s">
        <v>435</v>
      </c>
      <c r="L7" s="37" t="s">
        <v>436</v>
      </c>
      <c r="M7" s="37" t="s">
        <v>437</v>
      </c>
      <c r="N7" s="37" t="s">
        <v>438</v>
      </c>
      <c r="O7" s="37" t="s">
        <v>439</v>
      </c>
      <c r="P7" s="37" t="s">
        <v>440</v>
      </c>
      <c r="Q7" s="37" t="s">
        <v>441</v>
      </c>
    </row>
    <row r="8" customFormat="false" ht="15" hidden="false" customHeight="false" outlineLevel="0" collapsed="false">
      <c r="A8" s="3" t="s">
        <v>442</v>
      </c>
      <c r="B8" s="15" t="n">
        <v>35010.6</v>
      </c>
      <c r="C8" s="21" t="n">
        <v>940</v>
      </c>
      <c r="D8" s="39" t="n">
        <v>2.44</v>
      </c>
      <c r="E8" s="9" t="n">
        <v>39152927</v>
      </c>
      <c r="F8" s="17" t="n">
        <f aca="false">B8*$T$5*$T$6</f>
        <v>66586.1834917175</v>
      </c>
      <c r="G8" s="20" t="n">
        <f aca="false">F8*1000000/E8</f>
        <v>1700.66936481448</v>
      </c>
      <c r="H8" s="20" t="n">
        <v>3.14057393927326</v>
      </c>
      <c r="I8" s="40" t="n">
        <f aca="false">F8/06_COMPONENT_CALC!H35</f>
        <v>0.140589969814433</v>
      </c>
      <c r="K8" s="41" t="n">
        <v>0.11789493354243</v>
      </c>
      <c r="L8" s="41" t="n">
        <v>0.134358067013159</v>
      </c>
      <c r="M8" s="41" t="n">
        <v>0.141724213697268</v>
      </c>
      <c r="N8" s="41" t="n">
        <v>0.127772813624868</v>
      </c>
      <c r="O8" s="41" t="n">
        <v>0.159648269320168</v>
      </c>
      <c r="P8" s="41" t="n">
        <v>0.166126391752804</v>
      </c>
      <c r="Q8" s="41" t="n">
        <v>0.13926016986981</v>
      </c>
      <c r="R8" s="17" t="n">
        <f aca="false">SUMPRODUCT(K8:Q8,$K$5:$Q$5)</f>
        <v>72885.8375541583</v>
      </c>
      <c r="S8" s="19" t="n">
        <f aca="false">F8/R8-1</f>
        <v>-0.0864317990139001</v>
      </c>
      <c r="U8" s="21" t="n">
        <v>68510</v>
      </c>
    </row>
    <row r="9" customFormat="false" ht="15" hidden="false" customHeight="false" outlineLevel="0" collapsed="false">
      <c r="A9" s="3" t="s">
        <v>443</v>
      </c>
      <c r="B9" s="15" t="n">
        <v>18820.6</v>
      </c>
      <c r="C9" s="21" t="n">
        <v>748</v>
      </c>
      <c r="D9" s="39" t="n">
        <v>1.99</v>
      </c>
      <c r="E9" s="9" t="n">
        <v>29572672</v>
      </c>
      <c r="F9" s="17" t="n">
        <f aca="false">B9*$T$5*$T$6</f>
        <v>35794.6429088396</v>
      </c>
      <c r="G9" s="20" t="n">
        <f aca="false">F9*1000000/E9</f>
        <v>1210.39596654775</v>
      </c>
      <c r="H9" s="20" t="n">
        <v>2.84653814832755</v>
      </c>
      <c r="I9" s="40" t="n">
        <f aca="false">F9/06_COMPONENT_CALC!H35</f>
        <v>0.0755767563506345</v>
      </c>
      <c r="K9" s="41" t="n">
        <v>0.0890474472090448</v>
      </c>
      <c r="L9" s="41" t="n">
        <v>0.0652438350105054</v>
      </c>
      <c r="M9" s="41" t="n">
        <v>0.0840562442533832</v>
      </c>
      <c r="N9" s="41" t="n">
        <v>0.0747652798899211</v>
      </c>
      <c r="O9" s="41" t="n">
        <v>0.0613656848711797</v>
      </c>
      <c r="P9" s="41" t="n">
        <v>0.0779920245963517</v>
      </c>
      <c r="Q9" s="41" t="n">
        <v>0.083260475969818</v>
      </c>
      <c r="R9" s="17" t="n">
        <f aca="false">SUMPRODUCT(K9:Q9,$K$5:$Q$5)</f>
        <v>31304.1815093804</v>
      </c>
      <c r="S9" s="19" t="n">
        <f aca="false">F9/R9-1</f>
        <v>0.143446056818753</v>
      </c>
      <c r="U9" s="21" t="n">
        <v>54230</v>
      </c>
    </row>
    <row r="10" customFormat="false" ht="15" hidden="false" customHeight="false" outlineLevel="0" collapsed="false">
      <c r="A10" s="3" t="s">
        <v>444</v>
      </c>
      <c r="B10" s="15" t="n">
        <v>16330.2</v>
      </c>
      <c r="C10" s="21" t="n">
        <v>843</v>
      </c>
      <c r="D10" s="39" t="n">
        <v>2.28</v>
      </c>
      <c r="E10" s="9" t="n">
        <v>19835345</v>
      </c>
      <c r="F10" s="17" t="n">
        <f aca="false">B10*$T$5*$T$6</f>
        <v>31058.1850541392</v>
      </c>
      <c r="G10" s="20" t="n">
        <f aca="false">F10*1000000/E10</f>
        <v>1565.80009342611</v>
      </c>
      <c r="H10" s="20" t="n">
        <v>3.84674762542089</v>
      </c>
      <c r="I10" s="40" t="n">
        <f aca="false">F10/06_COMPONENT_CALC!H35</f>
        <v>0.0655762062079387</v>
      </c>
      <c r="K10" s="41" t="n">
        <v>0.0597269951379669</v>
      </c>
      <c r="L10" s="41" t="n">
        <v>0.0350363080098787</v>
      </c>
      <c r="M10" s="41" t="n">
        <v>0.0539698653324067</v>
      </c>
      <c r="N10" s="41" t="n">
        <v>0.044912582861114</v>
      </c>
      <c r="O10" s="41" t="n">
        <v>0.0428161363485319</v>
      </c>
      <c r="P10" s="41" t="n">
        <v>0.0650630745405556</v>
      </c>
      <c r="Q10" s="41" t="n">
        <v>0.0725589711317714</v>
      </c>
      <c r="R10" s="17" t="n">
        <f aca="false">SUMPRODUCT(K10:Q10,$K$5:$Q$5)</f>
        <v>21512.6593508263</v>
      </c>
      <c r="S10" s="19" t="n">
        <f aca="false">F10/R10-1</f>
        <v>0.443716676197274</v>
      </c>
      <c r="U10" s="21" t="n">
        <v>70460</v>
      </c>
    </row>
    <row r="11" customFormat="false" ht="15" hidden="false" customHeight="false" outlineLevel="0" collapsed="false">
      <c r="A11" s="3" t="s">
        <v>445</v>
      </c>
      <c r="B11" s="15" t="n">
        <v>15322.2</v>
      </c>
      <c r="C11" s="21" t="n">
        <v>815</v>
      </c>
      <c r="D11" s="39" t="n">
        <v>1.82</v>
      </c>
      <c r="E11" s="9" t="n">
        <v>21836698</v>
      </c>
      <c r="F11" s="17" t="n">
        <f aca="false">B11*$T$5*$T$6</f>
        <v>29141.0835774535</v>
      </c>
      <c r="G11" s="20" t="n">
        <f aca="false">F11*1000000/E11</f>
        <v>1334.50046236173</v>
      </c>
      <c r="H11" s="20" t="n">
        <v>2.49791005524754</v>
      </c>
      <c r="I11" s="40" t="n">
        <f aca="false">F11/06_COMPONENT_CALC!H35</f>
        <v>0.0615284409718973</v>
      </c>
      <c r="K11" s="41" t="n">
        <v>0.0657533486448182</v>
      </c>
      <c r="L11" s="41" t="n">
        <v>0.0652622654723727</v>
      </c>
      <c r="M11" s="41" t="n">
        <v>0.0779826260195283</v>
      </c>
      <c r="N11" s="41" t="n">
        <v>0.0654586987413509</v>
      </c>
      <c r="O11" s="41" t="n">
        <v>0.0588022843287984</v>
      </c>
      <c r="P11" s="41" t="n">
        <v>0.069314487467021</v>
      </c>
      <c r="Q11" s="41" t="n">
        <v>0.0588953813484413</v>
      </c>
      <c r="R11" s="17" t="n">
        <f aca="false">SUMPRODUCT(K11:Q11,$K$5:$Q$5)</f>
        <v>29224.2427916549</v>
      </c>
      <c r="S11" s="19" t="n">
        <f aca="false">F11/R11-1</f>
        <v>-0.00284555582138391</v>
      </c>
      <c r="U11" s="21" t="n">
        <v>51950</v>
      </c>
    </row>
    <row r="12" customFormat="false" ht="15" hidden="false" customHeight="false" outlineLevel="0" collapsed="false">
      <c r="A12" s="3" t="s">
        <v>446</v>
      </c>
      <c r="B12" s="15" t="n">
        <v>9715.7</v>
      </c>
      <c r="C12" s="21" t="n">
        <v>757</v>
      </c>
      <c r="D12" s="39" t="n">
        <v>1.86</v>
      </c>
      <c r="E12" s="9" t="n">
        <v>12703354</v>
      </c>
      <c r="F12" s="17" t="n">
        <f aca="false">B12*$T$5*$T$6</f>
        <v>18478.1575565823</v>
      </c>
      <c r="G12" s="20" t="n">
        <f aca="false">F12*1000000/E12</f>
        <v>1454.58888704371</v>
      </c>
      <c r="H12" s="20" t="n">
        <v>3.34925151415821</v>
      </c>
      <c r="I12" s="40" t="n">
        <f aca="false">F12/06_COMPONENT_CALC!H35</f>
        <v>0.039014754666475</v>
      </c>
      <c r="K12" s="41" t="n">
        <v>0.0382515737736789</v>
      </c>
      <c r="L12" s="41" t="n">
        <v>0.0296914740683402</v>
      </c>
      <c r="M12" s="41" t="n">
        <v>0.0368790613628195</v>
      </c>
      <c r="N12" s="41" t="n">
        <v>0.0331155139504756</v>
      </c>
      <c r="O12" s="41" t="n">
        <v>0.0307177009110267</v>
      </c>
      <c r="P12" s="41" t="n">
        <v>0.0376383793955833</v>
      </c>
      <c r="Q12" s="41" t="n">
        <v>0.0393402909046282</v>
      </c>
      <c r="R12" s="17" t="n">
        <f aca="false">SUMPRODUCT(K12:Q12,$K$5:$Q$5)</f>
        <v>15147.1949822832</v>
      </c>
      <c r="S12" s="19" t="n">
        <f aca="false">F12/R12-1</f>
        <v>0.219906232024816</v>
      </c>
      <c r="U12" s="21" t="n">
        <v>59650</v>
      </c>
    </row>
    <row r="13" customFormat="false" ht="15" hidden="false" customHeight="false" outlineLevel="0" collapsed="false">
      <c r="A13" s="3" t="s">
        <v>447</v>
      </c>
      <c r="B13" s="15" t="n">
        <v>9544.2</v>
      </c>
      <c r="C13" s="21" t="n">
        <v>751</v>
      </c>
      <c r="D13" s="39" t="n">
        <v>1.92</v>
      </c>
      <c r="E13" s="9" t="n">
        <v>13016628</v>
      </c>
      <c r="F13" s="17" t="n">
        <f aca="false">B13*$T$5*$T$6</f>
        <v>18151.9840414518</v>
      </c>
      <c r="G13" s="20" t="n">
        <f aca="false">F13*1000000/E13</f>
        <v>1394.5227628424</v>
      </c>
      <c r="H13" s="20" t="n">
        <v>3.14514867132441</v>
      </c>
      <c r="I13" s="40" t="n">
        <f aca="false">F13/06_COMPONENT_CALC!H35</f>
        <v>0.0383260723867318</v>
      </c>
      <c r="K13" s="41" t="n">
        <v>0.0391948855575098</v>
      </c>
      <c r="L13" s="41" t="n">
        <v>0.027074348483173</v>
      </c>
      <c r="M13" s="41" t="n">
        <v>0.0385790809238005</v>
      </c>
      <c r="N13" s="41" t="n">
        <v>0.0319225633129077</v>
      </c>
      <c r="O13" s="41" t="n">
        <v>0.0260566896113857</v>
      </c>
      <c r="P13" s="41" t="n">
        <v>0.0366274944015415</v>
      </c>
      <c r="Q13" s="41" t="n">
        <v>0.0374991942969612</v>
      </c>
      <c r="R13" s="17" t="n">
        <f aca="false">SUMPRODUCT(K13:Q13,$K$5:$Q$5)</f>
        <v>13501.9815630965</v>
      </c>
      <c r="S13" s="19" t="n">
        <f aca="false">F13/R13-1</f>
        <v>0.344394077019373</v>
      </c>
      <c r="U13" s="21" t="n">
        <v>55490</v>
      </c>
    </row>
    <row r="14" customFormat="false" ht="15" hidden="false" customHeight="false" outlineLevel="0" collapsed="false">
      <c r="A14" s="3" t="s">
        <v>448</v>
      </c>
      <c r="B14" s="15" t="n">
        <v>8519.8</v>
      </c>
      <c r="C14" s="21" t="n">
        <v>739</v>
      </c>
      <c r="D14" s="39" t="n">
        <v>2.1</v>
      </c>
      <c r="E14" s="9" t="n">
        <v>11761443</v>
      </c>
      <c r="F14" s="17" t="n">
        <f aca="false">B14*$T$5*$T$6</f>
        <v>16203.6916280422</v>
      </c>
      <c r="G14" s="20" t="n">
        <f aca="false">F14*1000000/E14</f>
        <v>1377.69588544894</v>
      </c>
      <c r="H14" s="20" t="n">
        <v>3.73476019551735</v>
      </c>
      <c r="I14" s="40" t="n">
        <f aca="false">F14/06_COMPONENT_CALC!H35</f>
        <v>0.0342124506528025</v>
      </c>
      <c r="K14" s="41" t="n">
        <v>0.0354153481513165</v>
      </c>
      <c r="L14" s="41" t="n">
        <v>0.0326403479671201</v>
      </c>
      <c r="M14" s="41" t="n">
        <v>0.0290014828169086</v>
      </c>
      <c r="N14" s="41" t="n">
        <v>0.0337503480407986</v>
      </c>
      <c r="O14" s="41" t="n">
        <v>0.0301001001478725</v>
      </c>
      <c r="P14" s="41" t="n">
        <v>0.0263832001710476</v>
      </c>
      <c r="Q14" s="41" t="n">
        <v>0.032466538439535</v>
      </c>
      <c r="R14" s="17" t="n">
        <f aca="false">SUMPRODUCT(K14:Q14,$K$5:$Q$5)</f>
        <v>14390.0584448547</v>
      </c>
      <c r="S14" s="19" t="n">
        <f aca="false">F14/R14-1</f>
        <v>0.126033760747927</v>
      </c>
      <c r="U14" s="21" t="n">
        <v>53170</v>
      </c>
    </row>
    <row r="15" customFormat="false" ht="15" hidden="false" customHeight="false" outlineLevel="0" collapsed="false">
      <c r="A15" s="3" t="s">
        <v>449</v>
      </c>
      <c r="B15" s="15" t="n">
        <v>8161.7</v>
      </c>
      <c r="C15" s="21" t="n">
        <v>826</v>
      </c>
      <c r="D15" s="39" t="n">
        <v>2.1</v>
      </c>
      <c r="E15" s="9" t="n">
        <v>10042362</v>
      </c>
      <c r="F15" s="17" t="n">
        <f aca="false">B15*$T$5*$T$6</f>
        <v>15522.6261133586</v>
      </c>
      <c r="G15" s="20" t="n">
        <f aca="false">F15*1000000/E15</f>
        <v>1545.71465491471</v>
      </c>
      <c r="H15" s="20" t="n">
        <v>3.69834044129473</v>
      </c>
      <c r="I15" s="40" t="n">
        <f aca="false">F15/06_COMPONENT_CALC!H35</f>
        <v>0.0327744499275779</v>
      </c>
      <c r="K15" s="41" t="n">
        <v>0.0302389550747771</v>
      </c>
      <c r="L15" s="41" t="n">
        <v>0.0321611559585683</v>
      </c>
      <c r="M15" s="41" t="n">
        <v>0.0280560977437521</v>
      </c>
      <c r="N15" s="41" t="n">
        <v>0.0313922756050518</v>
      </c>
      <c r="O15" s="41" t="n">
        <v>0.0307682225253576</v>
      </c>
      <c r="P15" s="41" t="n">
        <v>0.0264784239887962</v>
      </c>
      <c r="Q15" s="41" t="n">
        <v>0.0287586733767124</v>
      </c>
      <c r="R15" s="17" t="n">
        <f aca="false">SUMPRODUCT(K15:Q15,$K$5:$Q$5)</f>
        <v>14405.987336419</v>
      </c>
      <c r="S15" s="19" t="n">
        <f aca="false">F15/R15-1</f>
        <v>0.0775121309538174</v>
      </c>
      <c r="U15" s="21" t="n">
        <v>55160</v>
      </c>
    </row>
    <row r="16" customFormat="false" ht="15" hidden="false" customHeight="false" outlineLevel="0" collapsed="false">
      <c r="A16" s="3" t="s">
        <v>450</v>
      </c>
      <c r="B16" s="15" t="n">
        <v>7034.2</v>
      </c>
      <c r="C16" s="21" t="n">
        <v>738</v>
      </c>
      <c r="D16" s="39" t="n">
        <v>2.11</v>
      </c>
      <c r="E16" s="9" t="n">
        <v>10565503</v>
      </c>
      <c r="F16" s="17" t="n">
        <f aca="false">B16*$T$5*$T$6</f>
        <v>13378.2492135936</v>
      </c>
      <c r="G16" s="20" t="n">
        <f aca="false">F16*1000000/E16</f>
        <v>1266.21981117166</v>
      </c>
      <c r="H16" s="20" t="n">
        <v>3.05618510834122</v>
      </c>
      <c r="I16" s="40" t="n">
        <f aca="false">F16/06_COMPONENT_CALC!H35</f>
        <v>0.0282468156977797</v>
      </c>
      <c r="K16" s="41" t="n">
        <v>0.031814205717681</v>
      </c>
      <c r="L16" s="41" t="n">
        <v>0.0301890965387593</v>
      </c>
      <c r="M16" s="41" t="n">
        <v>0.0292609607842816</v>
      </c>
      <c r="N16" s="41" t="n">
        <v>0.030839140210328</v>
      </c>
      <c r="O16" s="41" t="n">
        <v>0.0278029665735734</v>
      </c>
      <c r="P16" s="41" t="n">
        <v>0.0265842071159287</v>
      </c>
      <c r="Q16" s="41" t="n">
        <v>0.0291268431541597</v>
      </c>
      <c r="R16" s="17" t="n">
        <f aca="false">SUMPRODUCT(K16:Q16,$K$5:$Q$5)</f>
        <v>13403.3221945161</v>
      </c>
      <c r="S16" s="19" t="n">
        <f aca="false">F16/R16-1</f>
        <v>-0.00187065419741872</v>
      </c>
      <c r="U16" s="21" t="n">
        <v>53100</v>
      </c>
    </row>
    <row r="17" customFormat="false" ht="15" hidden="false" customHeight="false" outlineLevel="0" collapsed="false">
      <c r="A17" s="3" t="s">
        <v>451</v>
      </c>
      <c r="B17" s="15" t="n">
        <v>6930.9</v>
      </c>
      <c r="C17" s="21" t="n">
        <v>715</v>
      </c>
      <c r="D17" s="39" t="n">
        <v>2.12</v>
      </c>
      <c r="E17" s="9" t="n">
        <v>10793038</v>
      </c>
      <c r="F17" s="17" t="n">
        <f aca="false">B17*$T$5*$T$6</f>
        <v>13181.784349961</v>
      </c>
      <c r="G17" s="20" t="n">
        <f aca="false">F17*1000000/E17</f>
        <v>1221.32288888087</v>
      </c>
      <c r="H17" s="20" t="n">
        <v>3.42909741609279</v>
      </c>
      <c r="I17" s="40" t="n">
        <f aca="false">F17/06_COMPONENT_CALC!H35</f>
        <v>0.0278320000738878</v>
      </c>
      <c r="K17" s="41" t="n">
        <v>0.0324993453932811</v>
      </c>
      <c r="L17" s="41" t="n">
        <v>0.0252128718345682</v>
      </c>
      <c r="M17" s="41" t="n">
        <v>0.0256958705010729</v>
      </c>
      <c r="N17" s="41" t="n">
        <v>0.0281274612580534</v>
      </c>
      <c r="O17" s="41" t="n">
        <v>0.0235873829784917</v>
      </c>
      <c r="P17" s="41" t="n">
        <v>0.0237145498722591</v>
      </c>
      <c r="Q17" s="41" t="n">
        <v>0.0302247951894152</v>
      </c>
      <c r="R17" s="17" t="n">
        <f aca="false">SUMPRODUCT(K17:Q17,$K$5:$Q$5)</f>
        <v>11598.4816827581</v>
      </c>
      <c r="S17" s="19" t="n">
        <f aca="false">F17/R17-1</f>
        <v>0.136509476887529</v>
      </c>
      <c r="U17" s="21" t="n">
        <v>53940</v>
      </c>
    </row>
    <row r="18" customFormat="false" ht="15" hidden="false" customHeight="false" outlineLevel="0" collapsed="false">
      <c r="A18" s="3" t="s">
        <v>452</v>
      </c>
      <c r="B18" s="15" t="n">
        <v>6175.2</v>
      </c>
      <c r="C18" s="21" t="n">
        <v>702</v>
      </c>
      <c r="D18" s="39" t="n">
        <v>1.7</v>
      </c>
      <c r="E18" s="9" t="n">
        <v>9266509</v>
      </c>
      <c r="F18" s="17" t="n">
        <f aca="false">B18*$T$5*$T$6</f>
        <v>11744.5288083624</v>
      </c>
      <c r="G18" s="20" t="n">
        <f aca="false">F18*1000000/E18</f>
        <v>1267.41675946815</v>
      </c>
      <c r="H18" s="20" t="n">
        <v>2.7351721344133</v>
      </c>
      <c r="I18" s="40" t="n">
        <f aca="false">F18/06_COMPONENT_CALC!H35</f>
        <v>0.0247973808388913</v>
      </c>
      <c r="K18" s="41" t="n">
        <v>0.0279027532916078</v>
      </c>
      <c r="L18" s="41" t="n">
        <v>0.0153157138117881</v>
      </c>
      <c r="M18" s="41" t="n">
        <v>0.0287025108466282</v>
      </c>
      <c r="N18" s="41" t="n">
        <v>0.020350529603716</v>
      </c>
      <c r="O18" s="41" t="n">
        <v>0.0178293573962961</v>
      </c>
      <c r="P18" s="41" t="n">
        <v>0.0329619158432379</v>
      </c>
      <c r="Q18" s="41" t="n">
        <v>0.0322906522908979</v>
      </c>
      <c r="R18" s="17" t="n">
        <f aca="false">SUMPRODUCT(K18:Q18,$K$5:$Q$5)</f>
        <v>9434.39307266149</v>
      </c>
      <c r="S18" s="19" t="n">
        <f aca="false">F18/R18-1</f>
        <v>0.24486320613407</v>
      </c>
      <c r="U18" s="21" t="n">
        <v>67120</v>
      </c>
    </row>
    <row r="19" customFormat="false" ht="15" hidden="false" customHeight="false" outlineLevel="0" collapsed="false">
      <c r="A19" s="3" t="s">
        <v>453</v>
      </c>
      <c r="B19" s="15" t="n">
        <v>6126</v>
      </c>
      <c r="C19" s="21" t="n">
        <v>766</v>
      </c>
      <c r="D19" s="39" t="n">
        <v>2.06</v>
      </c>
      <c r="E19" s="9" t="n">
        <v>8660007</v>
      </c>
      <c r="F19" s="17" t="n">
        <f aca="false">B19*$T$5*$T$6</f>
        <v>11650.9559981909</v>
      </c>
      <c r="G19" s="20" t="n">
        <f aca="false">F19*1000000/E19</f>
        <v>1345.37489382986</v>
      </c>
      <c r="H19" s="20" t="n">
        <v>3.49231055176354</v>
      </c>
      <c r="I19" s="40" t="n">
        <f aca="false">F19/06_COMPONENT_CALC!H35</f>
        <v>0.0245998113452274</v>
      </c>
      <c r="K19" s="41" t="n">
        <v>0.0260764910307211</v>
      </c>
      <c r="L19" s="41" t="n">
        <v>0.0186884883335176</v>
      </c>
      <c r="M19" s="41" t="n">
        <v>0.0223006571756198</v>
      </c>
      <c r="N19" s="41" t="n">
        <v>0.021643689412399</v>
      </c>
      <c r="O19" s="41" t="n">
        <v>0.0202030901129054</v>
      </c>
      <c r="P19" s="41" t="n">
        <v>0.0237823845394204</v>
      </c>
      <c r="Q19" s="41" t="n">
        <v>0.0280236105179931</v>
      </c>
      <c r="R19" s="17" t="n">
        <f aca="false">SUMPRODUCT(K19:Q19,$K$5:$Q$5)</f>
        <v>9876.30745524711</v>
      </c>
      <c r="S19" s="19" t="n">
        <f aca="false">F19/R19-1</f>
        <v>0.17968745414066</v>
      </c>
      <c r="U19" s="21" t="n">
        <v>62330</v>
      </c>
    </row>
    <row r="20" customFormat="false" ht="15" hidden="false" customHeight="false" outlineLevel="0" collapsed="false">
      <c r="A20" s="3" t="s">
        <v>454</v>
      </c>
      <c r="B20" s="15" t="n">
        <v>5946.4</v>
      </c>
      <c r="C20" s="21" t="n">
        <v>930</v>
      </c>
      <c r="D20" s="39" t="n">
        <v>2.27</v>
      </c>
      <c r="E20" s="9" t="n">
        <v>7274022</v>
      </c>
      <c r="F20" s="17" t="n">
        <f aca="false">B20*$T$5*$T$6</f>
        <v>11309.377203337</v>
      </c>
      <c r="G20" s="20" t="n">
        <f aca="false">F20*1000000/E20</f>
        <v>1554.76257885073</v>
      </c>
      <c r="H20" s="20" t="n">
        <v>3.68792000652199</v>
      </c>
      <c r="I20" s="40" t="n">
        <f aca="false">F20/06_COMPONENT_CALC!H35</f>
        <v>0.0238786023805518</v>
      </c>
      <c r="K20" s="41" t="n">
        <v>0.021903096549491</v>
      </c>
      <c r="L20" s="41" t="n">
        <v>0.034852003391205</v>
      </c>
      <c r="M20" s="41" t="n">
        <v>0.0204986921167815</v>
      </c>
      <c r="N20" s="41" t="n">
        <v>0.0296724406545194</v>
      </c>
      <c r="O20" s="41" t="n">
        <v>0.0333485712233341</v>
      </c>
      <c r="P20" s="41" t="n">
        <v>0.0193494999126204</v>
      </c>
      <c r="Q20" s="41" t="n">
        <v>0.0208346549621651</v>
      </c>
      <c r="R20" s="17" t="n">
        <f aca="false">SUMPRODUCT(K20:Q20,$K$5:$Q$5)</f>
        <v>14683.8669996594</v>
      </c>
      <c r="S20" s="19" t="n">
        <f aca="false">F20/R20-1</f>
        <v>-0.22980934085011</v>
      </c>
      <c r="U20" s="21" t="n">
        <v>55170</v>
      </c>
    </row>
    <row r="21" customFormat="false" ht="15" hidden="false" customHeight="false" outlineLevel="0" collapsed="false">
      <c r="A21" s="3" t="s">
        <v>455</v>
      </c>
      <c r="B21" s="15" t="n">
        <v>5805.1</v>
      </c>
      <c r="C21" s="21" t="n">
        <v>863</v>
      </c>
      <c r="D21" s="39" t="n">
        <v>2.23</v>
      </c>
      <c r="E21" s="9" t="n">
        <v>7744316</v>
      </c>
      <c r="F21" s="17" t="n">
        <f aca="false">B21*$T$5*$T$6</f>
        <v>11040.6406570516</v>
      </c>
      <c r="G21" s="20" t="n">
        <f aca="false">F21*1000000/E21</f>
        <v>1425.64438964675</v>
      </c>
      <c r="H21" s="20" t="n">
        <v>3.61540432773138</v>
      </c>
      <c r="I21" s="40" t="n">
        <f aca="false">F21/06_COMPONENT_CALC!H35</f>
        <v>0.0233111924322853</v>
      </c>
      <c r="K21" s="41" t="n">
        <v>0.0233192174917492</v>
      </c>
      <c r="L21" s="41" t="n">
        <v>0.0326587784289874</v>
      </c>
      <c r="M21" s="41" t="n">
        <v>0.0204129775029746</v>
      </c>
      <c r="N21" s="41" t="n">
        <v>0.0289229540540921</v>
      </c>
      <c r="O21" s="41" t="n">
        <v>0.0389364152031656</v>
      </c>
      <c r="P21" s="41" t="n">
        <v>0.0240080282478812</v>
      </c>
      <c r="Q21" s="41" t="n">
        <v>0.0276376626774505</v>
      </c>
      <c r="R21" s="17" t="n">
        <f aca="false">SUMPRODUCT(K21:Q21,$K$5:$Q$5)</f>
        <v>16720.2571287869</v>
      </c>
      <c r="S21" s="19" t="n">
        <f aca="false">F21/R21-1</f>
        <v>-0.339684756519493</v>
      </c>
      <c r="U21" s="21" t="n">
        <v>68740</v>
      </c>
    </row>
    <row r="22" customFormat="false" ht="15" hidden="false" customHeight="false" outlineLevel="0" collapsed="false">
      <c r="A22" s="3" t="s">
        <v>456</v>
      </c>
      <c r="B22" s="15" t="n">
        <v>5634.6</v>
      </c>
      <c r="C22" s="21" t="n">
        <v>861</v>
      </c>
      <c r="D22" s="39" t="n">
        <v>1.93</v>
      </c>
      <c r="E22" s="9" t="n">
        <v>6996721</v>
      </c>
      <c r="F22" s="17" t="n">
        <f aca="false">B22*$T$5*$T$6</f>
        <v>10716.3690283066</v>
      </c>
      <c r="G22" s="20" t="n">
        <f aca="false">F22*1000000/E22</f>
        <v>1531.62731918375</v>
      </c>
      <c r="H22" s="20" t="n">
        <v>2.93681510658949</v>
      </c>
      <c r="I22" s="40" t="n">
        <f aca="false">F22/06_COMPONENT_CALC!H35</f>
        <v>0.0226265257926572</v>
      </c>
      <c r="K22" s="41" t="n">
        <v>0.0210681044947144</v>
      </c>
      <c r="L22" s="41" t="n">
        <v>0.0185226141767113</v>
      </c>
      <c r="M22" s="41" t="n">
        <v>0.0243915843404717</v>
      </c>
      <c r="N22" s="41" t="n">
        <v>0.0195408103039125</v>
      </c>
      <c r="O22" s="41" t="n">
        <v>0.0234322795447324</v>
      </c>
      <c r="P22" s="41" t="n">
        <v>0.0304401212651297</v>
      </c>
      <c r="Q22" s="41" t="n">
        <v>0.0264953117447471</v>
      </c>
      <c r="R22" s="17" t="n">
        <f aca="false">SUMPRODUCT(K22:Q22,$K$5:$Q$5)</f>
        <v>11050.4619026408</v>
      </c>
      <c r="S22" s="19" t="n">
        <f aca="false">F22/R22-1</f>
        <v>-0.0302333854709106</v>
      </c>
      <c r="U22" s="21" t="n">
        <v>72940</v>
      </c>
    </row>
    <row r="23" customFormat="false" ht="15" hidden="false" customHeight="false" outlineLevel="0" collapsed="false">
      <c r="A23" s="3" t="s">
        <v>457</v>
      </c>
      <c r="B23" s="15" t="n">
        <v>5056.5</v>
      </c>
      <c r="C23" s="21" t="n">
        <v>1005</v>
      </c>
      <c r="D23" s="39" t="n">
        <v>2.14</v>
      </c>
      <c r="E23" s="9" t="n">
        <v>5814368</v>
      </c>
      <c r="F23" s="17" t="n">
        <f aca="false">B23*$T$5*$T$6</f>
        <v>9616.88850879076</v>
      </c>
      <c r="G23" s="20" t="n">
        <f aca="false">F23*1000000/E23</f>
        <v>1653.98690086193</v>
      </c>
      <c r="H23" s="20" t="n">
        <v>2.96482516568074</v>
      </c>
      <c r="I23" s="40" t="n">
        <f aca="false">F23/06_COMPONENT_CALC!H35</f>
        <v>0.0203050842421062</v>
      </c>
      <c r="K23" s="41" t="n">
        <v>0.0175078744164193</v>
      </c>
      <c r="L23" s="41" t="n">
        <v>0.0312396328651996</v>
      </c>
      <c r="M23" s="41" t="n">
        <v>0.0216822550296462</v>
      </c>
      <c r="N23" s="41" t="n">
        <v>0.0257469294856875</v>
      </c>
      <c r="O23" s="41" t="n">
        <v>0.0340802731584935</v>
      </c>
      <c r="P23" s="41" t="n">
        <v>0.0233343497179211</v>
      </c>
      <c r="Q23" s="41" t="n">
        <v>0.0189872417212978</v>
      </c>
      <c r="R23" s="17" t="n">
        <f aca="false">SUMPRODUCT(K23:Q23,$K$5:$Q$5)</f>
        <v>14806.2271651207</v>
      </c>
      <c r="S23" s="19" t="n">
        <f aca="false">F23/R23-1</f>
        <v>-0.350483522808197</v>
      </c>
      <c r="U23" s="21" t="n">
        <v>62900</v>
      </c>
    </row>
    <row r="24" customFormat="false" ht="15" hidden="false" customHeight="false" outlineLevel="0" collapsed="false">
      <c r="A24" s="3" t="s">
        <v>458</v>
      </c>
      <c r="B24" s="15" t="n">
        <v>4964.7</v>
      </c>
      <c r="C24" s="21" t="n">
        <v>860</v>
      </c>
      <c r="D24" s="39" t="n">
        <v>2.22</v>
      </c>
      <c r="E24" s="9" t="n">
        <v>6176035</v>
      </c>
      <c r="F24" s="17" t="n">
        <f aca="false">B24*$T$5*$T$6</f>
        <v>9442.2953385926</v>
      </c>
      <c r="G24" s="20" t="n">
        <f aca="false">F24*1000000/E24</f>
        <v>1528.86039968889</v>
      </c>
      <c r="H24" s="20" t="n">
        <v>3.85937284018048</v>
      </c>
      <c r="I24" s="40" t="n">
        <f aca="false">F24/06_COMPONENT_CALC!H35</f>
        <v>0.0199364484795381</v>
      </c>
      <c r="K24" s="41" t="n">
        <v>0.0185969042845947</v>
      </c>
      <c r="L24" s="41" t="n">
        <v>0.0115558995908438</v>
      </c>
      <c r="M24" s="41" t="n">
        <v>0.0163542186394716</v>
      </c>
      <c r="N24" s="41" t="n">
        <v>0.0143723014683441</v>
      </c>
      <c r="O24" s="41" t="n">
        <v>0.0132079578552625</v>
      </c>
      <c r="P24" s="41" t="n">
        <v>0.0184397837152846</v>
      </c>
      <c r="Q24" s="41" t="n">
        <v>0.0211302133214457</v>
      </c>
      <c r="R24" s="17" t="n">
        <f aca="false">SUMPRODUCT(K24:Q24,$K$5:$Q$5)</f>
        <v>6617.59546042472</v>
      </c>
      <c r="S24" s="19" t="n">
        <f aca="false">F24/R24-1</f>
        <v>0.426846865309382</v>
      </c>
      <c r="U24" s="21" t="n">
        <v>65900</v>
      </c>
    </row>
    <row r="25" customFormat="false" ht="15" hidden="false" customHeight="false" outlineLevel="0" collapsed="false">
      <c r="A25" s="3" t="s">
        <v>459</v>
      </c>
      <c r="B25" s="15" t="n">
        <v>4683.8</v>
      </c>
      <c r="C25" s="21" t="n">
        <v>738</v>
      </c>
      <c r="D25" s="39" t="n">
        <v>2.25</v>
      </c>
      <c r="E25" s="9" t="n">
        <v>6966687</v>
      </c>
      <c r="F25" s="17" t="n">
        <f aca="false">B25*$T$5*$T$6</f>
        <v>8908.05545287732</v>
      </c>
      <c r="G25" s="20" t="n">
        <f aca="false">F25*1000000/E25</f>
        <v>1278.66451483716</v>
      </c>
      <c r="H25" s="20" t="n">
        <v>2.98160431327599</v>
      </c>
      <c r="I25" s="40" t="n">
        <f aca="false">F25/06_COMPONENT_CALC!H35</f>
        <v>0.0188084551712008</v>
      </c>
      <c r="K25" s="41" t="n">
        <v>0.0209776679244418</v>
      </c>
      <c r="L25" s="41" t="n">
        <v>0.0243835010505363</v>
      </c>
      <c r="M25" s="41" t="n">
        <v>0.0199710941620507</v>
      </c>
      <c r="N25" s="41" t="n">
        <v>0.0230211678000985</v>
      </c>
      <c r="O25" s="41" t="n">
        <v>0.020861891324469</v>
      </c>
      <c r="P25" s="41" t="n">
        <v>0.0168559635502754</v>
      </c>
      <c r="Q25" s="41" t="n">
        <v>0.0178421067248028</v>
      </c>
      <c r="R25" s="17" t="n">
        <f aca="false">SUMPRODUCT(K25:Q25,$K$5:$Q$5)</f>
        <v>9874.96164144749</v>
      </c>
      <c r="S25" s="19" t="n">
        <f aca="false">F25/R25-1</f>
        <v>-0.0979149310830576</v>
      </c>
      <c r="U25" s="21" t="n">
        <v>49330</v>
      </c>
    </row>
    <row r="26" customFormat="false" ht="15" hidden="false" customHeight="false" outlineLevel="0" collapsed="false">
      <c r="A26" s="3" t="s">
        <v>460</v>
      </c>
      <c r="B26" s="15" t="n">
        <v>4603.6</v>
      </c>
      <c r="C26" s="21" t="n">
        <v>769</v>
      </c>
      <c r="D26" s="39" t="n">
        <v>1.83</v>
      </c>
      <c r="E26" s="9" t="n">
        <v>6172551</v>
      </c>
      <c r="F26" s="17" t="n">
        <f aca="false">B26*$T$5*$T$6</f>
        <v>8755.52416475213</v>
      </c>
      <c r="G26" s="20" t="n">
        <f aca="false">F26*1000000/E26</f>
        <v>1418.46121072991</v>
      </c>
      <c r="H26" s="20" t="n">
        <v>2.82822384852343</v>
      </c>
      <c r="I26" s="40" t="n">
        <f aca="false">F26/06_COMPONENT_CALC!H35</f>
        <v>0.0184864008339681</v>
      </c>
      <c r="K26" s="41" t="n">
        <v>0.0185864134738192</v>
      </c>
      <c r="L26" s="41" t="n">
        <v>0.0169375944561171</v>
      </c>
      <c r="M26" s="41" t="n">
        <v>0.0206936608161659</v>
      </c>
      <c r="N26" s="41" t="n">
        <v>0.0175971220631979</v>
      </c>
      <c r="O26" s="41" t="n">
        <v>0.0150965200497879</v>
      </c>
      <c r="P26" s="41" t="n">
        <v>0.0181951882312667</v>
      </c>
      <c r="Q26" s="41" t="n">
        <v>0.0164684233595943</v>
      </c>
      <c r="R26" s="17" t="n">
        <f aca="false">SUMPRODUCT(K26:Q26,$K$5:$Q$5)</f>
        <v>7598.34585333849</v>
      </c>
      <c r="S26" s="19" t="n">
        <f aca="false">F26/R26-1</f>
        <v>0.152293450936458</v>
      </c>
      <c r="U26" s="21" t="n">
        <v>51390</v>
      </c>
    </row>
    <row r="27" customFormat="false" ht="15" hidden="false" customHeight="false" outlineLevel="0" collapsed="false">
      <c r="A27" s="3" t="s">
        <v>461</v>
      </c>
      <c r="B27" s="15" t="n">
        <v>4468.2</v>
      </c>
      <c r="C27" s="21" t="n">
        <v>689</v>
      </c>
      <c r="D27" s="39" t="n">
        <v>1.96</v>
      </c>
      <c r="E27" s="9" t="n">
        <v>6814223</v>
      </c>
      <c r="F27" s="17" t="n">
        <f aca="false">B27*$T$5*$T$6</f>
        <v>8498.00874814177</v>
      </c>
      <c r="G27" s="20" t="n">
        <f aca="false">F27*1000000/E27</f>
        <v>1247.09871516412</v>
      </c>
      <c r="H27" s="20" t="n">
        <v>3.07752342141973</v>
      </c>
      <c r="I27" s="40" t="n">
        <f aca="false">F27/06_COMPONENT_CALC!H35</f>
        <v>0.0179426831623808</v>
      </c>
      <c r="K27" s="41" t="n">
        <v>0.0205185775185671</v>
      </c>
      <c r="L27" s="41" t="n">
        <v>0.0205683954439898</v>
      </c>
      <c r="M27" s="41" t="n">
        <v>0.0184580051366689</v>
      </c>
      <c r="N27" s="41" t="n">
        <v>0.0205484682738207</v>
      </c>
      <c r="O27" s="41" t="n">
        <v>0.0179937628166231</v>
      </c>
      <c r="P27" s="41" t="n">
        <v>0.0159294378231497</v>
      </c>
      <c r="Q27" s="41" t="n">
        <v>0.0178443255703868</v>
      </c>
      <c r="R27" s="17" t="n">
        <f aca="false">SUMPRODUCT(K27:Q27,$K$5:$Q$5)</f>
        <v>8658.27999914929</v>
      </c>
      <c r="S27" s="19" t="n">
        <f aca="false">F27/R27-1</f>
        <v>-0.0185107493663024</v>
      </c>
      <c r="U27" s="21" t="n">
        <v>50440</v>
      </c>
    </row>
    <row r="28" customFormat="false" ht="15" hidden="false" customHeight="false" outlineLevel="0" collapsed="false">
      <c r="A28" s="3" t="s">
        <v>462</v>
      </c>
      <c r="B28" s="15" t="n">
        <v>4452.9</v>
      </c>
      <c r="C28" s="21" t="n">
        <v>783</v>
      </c>
      <c r="D28" s="39" t="n">
        <v>1.62</v>
      </c>
      <c r="E28" s="9" t="n">
        <v>5882128</v>
      </c>
      <c r="F28" s="17" t="n">
        <f aca="false">B28*$T$5*$T$6</f>
        <v>8468.90988644208</v>
      </c>
      <c r="G28" s="20" t="n">
        <f aca="false">F28*1000000/E28</f>
        <v>1439.76973748992</v>
      </c>
      <c r="H28" s="20" t="n">
        <v>2.51528896308929</v>
      </c>
      <c r="I28" s="40" t="n">
        <f aca="false">F28/06_COMPONENT_CALC!H35</f>
        <v>0.0178812438686195</v>
      </c>
      <c r="K28" s="41" t="n">
        <v>0.0177119092436708</v>
      </c>
      <c r="L28" s="41" t="n">
        <v>0.0216189317704302</v>
      </c>
      <c r="M28" s="41" t="n">
        <v>0.0225065320915439</v>
      </c>
      <c r="N28" s="41" t="n">
        <v>0.0200561227597264</v>
      </c>
      <c r="O28" s="41" t="n">
        <v>0.0199176821497828</v>
      </c>
      <c r="P28" s="41" t="n">
        <v>0.0204553661204561</v>
      </c>
      <c r="Q28" s="41" t="n">
        <v>0.0162218826610452</v>
      </c>
      <c r="R28" s="17" t="n">
        <f aca="false">SUMPRODUCT(K28:Q28,$K$5:$Q$5)</f>
        <v>9522.22871484365</v>
      </c>
      <c r="S28" s="19" t="n">
        <f aca="false">F28/R28-1</f>
        <v>-0.110616837711492</v>
      </c>
      <c r="U28" s="21" t="n">
        <v>53120</v>
      </c>
    </row>
    <row r="29" customFormat="false" ht="15" hidden="false" customHeight="false" outlineLevel="0" collapsed="false">
      <c r="A29" s="3" t="s">
        <v>463</v>
      </c>
      <c r="B29" s="15" t="n">
        <v>3982.9</v>
      </c>
      <c r="C29" s="21" t="n">
        <v>861</v>
      </c>
      <c r="D29" s="39" t="n">
        <v>2.13</v>
      </c>
      <c r="E29" s="9" t="n">
        <v>5194346</v>
      </c>
      <c r="F29" s="17" t="n">
        <f aca="false">B29*$T$5*$T$6</f>
        <v>7575.02328520967</v>
      </c>
      <c r="G29" s="20" t="n">
        <f aca="false">F29*1000000/E29</f>
        <v>1458.32089067799</v>
      </c>
      <c r="H29" s="20" t="n">
        <v>3.95332443997303</v>
      </c>
      <c r="I29" s="40" t="n">
        <f aca="false">F29/06_COMPONENT_CALC!H35</f>
        <v>0.0159938930145129</v>
      </c>
      <c r="K29" s="41" t="n">
        <v>0.0156409015465533</v>
      </c>
      <c r="L29" s="41" t="n">
        <v>0.0185410446385786</v>
      </c>
      <c r="M29" s="41" t="n">
        <v>0.0128082698920599</v>
      </c>
      <c r="N29" s="41" t="n">
        <v>0.0173809874017685</v>
      </c>
      <c r="O29" s="41" t="n">
        <v>0.0152715412424144</v>
      </c>
      <c r="P29" s="41" t="n">
        <v>0.0104071843735598</v>
      </c>
      <c r="Q29" s="41" t="n">
        <v>0.0128068334895285</v>
      </c>
      <c r="R29" s="17" t="n">
        <f aca="false">SUMPRODUCT(K29:Q29,$K$5:$Q$5)</f>
        <v>7149.49413882083</v>
      </c>
      <c r="S29" s="19" t="n">
        <f aca="false">F29/R29-1</f>
        <v>0.0595187768709777</v>
      </c>
      <c r="U29" s="21" t="n">
        <v>47490</v>
      </c>
    </row>
    <row r="30" customFormat="false" ht="15" hidden="false" customHeight="false" outlineLevel="0" collapsed="false">
      <c r="A30" s="3" t="s">
        <v>464</v>
      </c>
      <c r="B30" s="15" t="n">
        <v>3886.4</v>
      </c>
      <c r="C30" s="21" t="n">
        <v>733</v>
      </c>
      <c r="D30" s="39" t="n">
        <v>1.74</v>
      </c>
      <c r="E30" s="9" t="n">
        <v>5714055</v>
      </c>
      <c r="F30" s="17" t="n">
        <f aca="false">B30*$T$5*$T$6</f>
        <v>7391.49124899919</v>
      </c>
      <c r="G30" s="20" t="n">
        <f aca="false">F30*1000000/E30</f>
        <v>1293.5631961889</v>
      </c>
      <c r="H30" s="20" t="n">
        <v>2.4803396285203</v>
      </c>
      <c r="I30" s="40" t="n">
        <f aca="false">F30/06_COMPONENT_CALC!H35</f>
        <v>0.0156063837434038</v>
      </c>
      <c r="K30" s="41" t="n">
        <v>0.0172058179579471</v>
      </c>
      <c r="L30" s="41" t="n">
        <v>0.0214161966898891</v>
      </c>
      <c r="M30" s="41" t="n">
        <v>0.0199200246027523</v>
      </c>
      <c r="N30" s="41" t="n">
        <v>0.0197320451971123</v>
      </c>
      <c r="O30" s="41" t="n">
        <v>0.0224647003275044</v>
      </c>
      <c r="P30" s="41" t="n">
        <v>0.0206130502341193</v>
      </c>
      <c r="Q30" s="41" t="n">
        <v>0.0179417548046616</v>
      </c>
      <c r="R30" s="17" t="n">
        <f aca="false">SUMPRODUCT(K30:Q30,$K$5:$Q$5)</f>
        <v>10296.995581107</v>
      </c>
      <c r="S30" s="19" t="n">
        <f aca="false">F30/R30-1</f>
        <v>-0.282170105757727</v>
      </c>
      <c r="U30" s="21" t="n">
        <v>60480</v>
      </c>
    </row>
    <row r="31" customFormat="false" ht="15" hidden="false" customHeight="false" outlineLevel="0" collapsed="false">
      <c r="A31" s="3" t="s">
        <v>465</v>
      </c>
      <c r="B31" s="15" t="n">
        <v>3801.4</v>
      </c>
      <c r="C31" s="21" t="n">
        <v>839</v>
      </c>
      <c r="D31" s="39" t="n">
        <v>1.91</v>
      </c>
      <c r="E31" s="9" t="n">
        <v>4628595</v>
      </c>
      <c r="F31" s="17" t="n">
        <f aca="false">B31*$T$5*$T$6</f>
        <v>7229.83090622312</v>
      </c>
      <c r="G31" s="20" t="n">
        <f aca="false">F31*1000000/E31</f>
        <v>1561.99254983923</v>
      </c>
      <c r="H31" s="20" t="n">
        <v>3.19545036603838</v>
      </c>
      <c r="I31" s="40" t="n">
        <f aca="false">F31/06_COMPONENT_CALC!H35</f>
        <v>0.0152650543336186</v>
      </c>
      <c r="K31" s="41" t="n">
        <v>0.0139373462402907</v>
      </c>
      <c r="L31" s="41" t="n">
        <v>0.00947325739983044</v>
      </c>
      <c r="M31" s="41" t="n">
        <v>0.0151239425610659</v>
      </c>
      <c r="N31" s="41" t="n">
        <v>0.0112588929360145</v>
      </c>
      <c r="O31" s="41" t="n">
        <v>0.00784383144722343</v>
      </c>
      <c r="P31" s="41" t="n">
        <v>0.012353443766416</v>
      </c>
      <c r="Q31" s="41" t="n">
        <v>0.0114720310812096</v>
      </c>
      <c r="R31" s="17" t="n">
        <f aca="false">SUMPRODUCT(K31:Q31,$K$5:$Q$5)</f>
        <v>4335.11777126629</v>
      </c>
      <c r="S31" s="19" t="n">
        <f aca="false">F31/R31-1</f>
        <v>0.667735754295617</v>
      </c>
      <c r="U31" s="21" t="n">
        <v>47740</v>
      </c>
    </row>
    <row r="32" customFormat="false" ht="15" hidden="false" customHeight="false" outlineLevel="0" collapsed="false">
      <c r="A32" s="3" t="s">
        <v>466</v>
      </c>
      <c r="B32" s="15" t="n">
        <v>3724.3</v>
      </c>
      <c r="C32" s="21" t="n">
        <v>779</v>
      </c>
      <c r="D32" s="39" t="n">
        <v>2.27</v>
      </c>
      <c r="E32" s="9" t="n">
        <v>5050058</v>
      </c>
      <c r="F32" s="17" t="n">
        <f aca="false">B32*$T$5*$T$6</f>
        <v>7083.19546589329</v>
      </c>
      <c r="G32" s="20" t="n">
        <f aca="false">F32*1000000/E32</f>
        <v>1402.59685451005</v>
      </c>
      <c r="H32" s="20" t="n">
        <v>3.95825389055895</v>
      </c>
      <c r="I32" s="40" t="n">
        <f aca="false">F32/06_COMPONENT_CALC!H35</f>
        <v>0.0149554484807428</v>
      </c>
      <c r="K32" s="41" t="n">
        <v>0.0152064302190081</v>
      </c>
      <c r="L32" s="41" t="n">
        <v>0.0117770651332522</v>
      </c>
      <c r="M32" s="41" t="n">
        <v>0.0119617448597406</v>
      </c>
      <c r="N32" s="41" t="n">
        <v>0.0131488111675546</v>
      </c>
      <c r="O32" s="41" t="n">
        <v>0.00982695424884395</v>
      </c>
      <c r="P32" s="41" t="n">
        <v>0.00984624188138376</v>
      </c>
      <c r="Q32" s="41" t="n">
        <v>0.0126136402761826</v>
      </c>
      <c r="R32" s="17" t="n">
        <f aca="false">SUMPRODUCT(K32:Q32,$K$5:$Q$5)</f>
        <v>4970.43358770526</v>
      </c>
      <c r="S32" s="19" t="n">
        <f aca="false">F32/R32-1</f>
        <v>0.425065910429646</v>
      </c>
      <c r="U32" s="21" t="n">
        <v>48110</v>
      </c>
    </row>
    <row r="33" customFormat="false" ht="15" hidden="false" customHeight="false" outlineLevel="0" collapsed="false">
      <c r="A33" s="3" t="s">
        <v>467</v>
      </c>
      <c r="B33" s="15" t="n">
        <v>3520.2</v>
      </c>
      <c r="C33" s="21" t="n">
        <v>919</v>
      </c>
      <c r="D33" s="39" t="n">
        <v>2.08</v>
      </c>
      <c r="E33" s="9" t="n">
        <v>4254691</v>
      </c>
      <c r="F33" s="17" t="n">
        <f aca="false">B33*$T$5*$T$6</f>
        <v>6695.02045459215</v>
      </c>
      <c r="G33" s="20" t="n">
        <f aca="false">F33*1000000/E33</f>
        <v>1573.56208819681</v>
      </c>
      <c r="H33" s="20" t="n">
        <v>3.00674636007055</v>
      </c>
      <c r="I33" s="40" t="n">
        <f aca="false">F33/06_COMPONENT_CALC!H35</f>
        <v>0.0141358563332467</v>
      </c>
      <c r="K33" s="41" t="n">
        <v>0.0128114690553934</v>
      </c>
      <c r="L33" s="41" t="n">
        <v>0.0231302296435549</v>
      </c>
      <c r="M33" s="41" t="n">
        <v>0.014884151085629</v>
      </c>
      <c r="N33" s="41" t="n">
        <v>0.0190027254082903</v>
      </c>
      <c r="O33" s="41" t="n">
        <v>0.0236970025748378</v>
      </c>
      <c r="P33" s="41" t="n">
        <v>0.0150429028004573</v>
      </c>
      <c r="Q33" s="41" t="n">
        <v>0.013047992965473</v>
      </c>
      <c r="R33" s="17" t="n">
        <f aca="false">SUMPRODUCT(K33:Q33,$K$5:$Q$5)</f>
        <v>10329.7576762352</v>
      </c>
      <c r="S33" s="19" t="n">
        <f aca="false">F33/R33-1</f>
        <v>-0.351870521610122</v>
      </c>
      <c r="U33" s="21" t="n">
        <v>59070</v>
      </c>
    </row>
    <row r="34" customFormat="false" ht="15" hidden="false" customHeight="false" outlineLevel="0" collapsed="false">
      <c r="A34" s="3" t="s">
        <v>468</v>
      </c>
      <c r="B34" s="15" t="n">
        <v>3194.5</v>
      </c>
      <c r="C34" s="21" t="n">
        <v>736</v>
      </c>
      <c r="D34" s="39" t="n">
        <v>2.36</v>
      </c>
      <c r="E34" s="9" t="n">
        <v>4508348</v>
      </c>
      <c r="F34" s="17" t="n">
        <f aca="false">B34*$T$5*$T$6</f>
        <v>6075.57605880195</v>
      </c>
      <c r="G34" s="20" t="n">
        <f aca="false">F34*1000000/E34</f>
        <v>1347.62801336586</v>
      </c>
      <c r="H34" s="20" t="n">
        <v>3.46546610026532</v>
      </c>
      <c r="I34" s="40" t="n">
        <f aca="false">F34/06_COMPONENT_CALC!H35</f>
        <v>0.012827962347752</v>
      </c>
      <c r="K34" s="41" t="n">
        <v>0.0135752657226916</v>
      </c>
      <c r="L34" s="41" t="n">
        <v>0.012698588226621</v>
      </c>
      <c r="M34" s="41" t="n">
        <v>0.0117191135608214</v>
      </c>
      <c r="N34" s="41" t="n">
        <v>0.0130492592250492</v>
      </c>
      <c r="O34" s="41" t="n">
        <v>0.0106091010809193</v>
      </c>
      <c r="P34" s="41" t="n">
        <v>0.00965855189665918</v>
      </c>
      <c r="Q34" s="41" t="n">
        <v>0.0112746429317942</v>
      </c>
      <c r="R34" s="17" t="n">
        <f aca="false">SUMPRODUCT(K34:Q34,$K$5:$Q$5)</f>
        <v>5207.60754575762</v>
      </c>
      <c r="S34" s="19" t="n">
        <f aca="false">F34/R34-1</f>
        <v>0.166673180614661</v>
      </c>
      <c r="U34" s="21" t="n">
        <v>48170</v>
      </c>
    </row>
    <row r="35" customFormat="false" ht="15" hidden="false" customHeight="false" outlineLevel="0" collapsed="false">
      <c r="A35" s="3" t="s">
        <v>469</v>
      </c>
      <c r="B35" s="15" t="n">
        <v>3081.2</v>
      </c>
      <c r="C35" s="21" t="n">
        <v>821</v>
      </c>
      <c r="D35" s="39" t="n">
        <v>2.49</v>
      </c>
      <c r="E35" s="9" t="n">
        <v>3992760</v>
      </c>
      <c r="F35" s="17" t="n">
        <f aca="false">B35*$T$5*$T$6</f>
        <v>5860.09233131338</v>
      </c>
      <c r="G35" s="20" t="n">
        <f aca="false">F35*1000000/E35</f>
        <v>1467.67958287334</v>
      </c>
      <c r="H35" s="20" t="n">
        <v>4.48708344122471</v>
      </c>
      <c r="I35" s="40" t="n">
        <f aca="false">F35/06_COMPONENT_CALC!H35</f>
        <v>0.0123729903227089</v>
      </c>
      <c r="K35" s="41" t="n">
        <v>0.0120227582180733</v>
      </c>
      <c r="L35" s="41" t="n">
        <v>0.0154447270448597</v>
      </c>
      <c r="M35" s="41" t="n">
        <v>0.00872989999283378</v>
      </c>
      <c r="N35" s="41" t="n">
        <v>0.0140759395141452</v>
      </c>
      <c r="O35" s="41" t="n">
        <v>0.012954272543239</v>
      </c>
      <c r="P35" s="41" t="n">
        <v>0.00722330859850434</v>
      </c>
      <c r="Q35" s="41" t="n">
        <v>0.010024626872187</v>
      </c>
      <c r="R35" s="17" t="n">
        <f aca="false">SUMPRODUCT(K35:Q35,$K$5:$Q$5)</f>
        <v>5900.54773448896</v>
      </c>
      <c r="S35" s="19" t="n">
        <f aca="false">F35/R35-1</f>
        <v>-0.00685621149018389</v>
      </c>
      <c r="U35" s="21" t="n">
        <v>48360</v>
      </c>
    </row>
    <row r="36" customFormat="false" ht="15" hidden="false" customHeight="false" outlineLevel="0" collapsed="false">
      <c r="A36" s="3" t="s">
        <v>470</v>
      </c>
      <c r="B36" s="15" t="n">
        <v>3029</v>
      </c>
      <c r="C36" s="21" t="n">
        <v>847</v>
      </c>
      <c r="D36" s="39" t="n">
        <v>2.04</v>
      </c>
      <c r="E36" s="9" t="n">
        <v>3607765</v>
      </c>
      <c r="F36" s="17" t="n">
        <f aca="false">B36*$T$5*$T$6</f>
        <v>5760.81386198501</v>
      </c>
      <c r="G36" s="20" t="n">
        <f aca="false">F36*1000000/E36</f>
        <v>1596.78190291912</v>
      </c>
      <c r="H36" s="20" t="n">
        <v>3.70768349746725</v>
      </c>
      <c r="I36" s="40" t="n">
        <f aca="false">F36/06_COMPONENT_CALC!H35</f>
        <v>0.0121633739086996</v>
      </c>
      <c r="K36" s="41" t="n">
        <v>0.0108634844825702</v>
      </c>
      <c r="L36" s="41" t="n">
        <v>0.00998931033211692</v>
      </c>
      <c r="M36" s="41" t="n">
        <v>0.010386043673065</v>
      </c>
      <c r="N36" s="41" t="n">
        <v>0.0103389799922983</v>
      </c>
      <c r="O36" s="41" t="n">
        <v>0.011457253658918</v>
      </c>
      <c r="P36" s="41" t="n">
        <v>0.0117513909782854</v>
      </c>
      <c r="Q36" s="41" t="n">
        <v>0.0123864108769769</v>
      </c>
      <c r="R36" s="17" t="n">
        <f aca="false">SUMPRODUCT(K36:Q36,$K$5:$Q$5)</f>
        <v>5328.88973552748</v>
      </c>
      <c r="S36" s="19" t="n">
        <f aca="false">F36/R36-1</f>
        <v>0.0810533052650555</v>
      </c>
      <c r="U36" s="21" t="n">
        <v>66130</v>
      </c>
    </row>
    <row r="37" customFormat="false" ht="15" hidden="false" customHeight="false" outlineLevel="0" collapsed="false">
      <c r="A37" s="3" t="s">
        <v>471</v>
      </c>
      <c r="B37" s="15" t="n">
        <v>2296.3</v>
      </c>
      <c r="C37" s="21" t="n">
        <v>850</v>
      </c>
      <c r="D37" s="39" t="n">
        <v>1.49</v>
      </c>
      <c r="E37" s="9" t="n">
        <v>3148472</v>
      </c>
      <c r="F37" s="17" t="n">
        <f aca="false">B37*$T$5*$T$6</f>
        <v>4367.30170725526</v>
      </c>
      <c r="G37" s="20" t="n">
        <f aca="false">F37*1000000/E37</f>
        <v>1387.11784867557</v>
      </c>
      <c r="H37" s="20" t="n">
        <v>2.15025717272194</v>
      </c>
      <c r="I37" s="40" t="n">
        <f aca="false">F37/06_COMPONENT_CALC!H35</f>
        <v>0.00922111439635091</v>
      </c>
      <c r="K37" s="41" t="n">
        <v>0.00948048908834331</v>
      </c>
      <c r="L37" s="41" t="n">
        <v>0.014965535036308</v>
      </c>
      <c r="M37" s="41" t="n">
        <v>0.0135766226036268</v>
      </c>
      <c r="N37" s="41" t="n">
        <v>0.0127715166571221</v>
      </c>
      <c r="O37" s="41" t="n">
        <v>0.0132583548037941</v>
      </c>
      <c r="P37" s="41" t="n">
        <v>0.0118654234858599</v>
      </c>
      <c r="Q37" s="41" t="n">
        <v>0.00834948026220753</v>
      </c>
      <c r="R37" s="17" t="n">
        <f aca="false">SUMPRODUCT(K37:Q37,$K$5:$Q$5)</f>
        <v>6191.26347072407</v>
      </c>
      <c r="S37" s="19" t="n">
        <f aca="false">F37/R37-1</f>
        <v>-0.294602510795022</v>
      </c>
      <c r="U37" s="21" t="n">
        <v>51080</v>
      </c>
    </row>
    <row r="38" customFormat="false" ht="15" hidden="false" customHeight="false" outlineLevel="0" collapsed="false">
      <c r="A38" s="3" t="s">
        <v>472</v>
      </c>
      <c r="B38" s="15" t="n">
        <v>2277.4</v>
      </c>
      <c r="C38" s="21" t="n">
        <v>768</v>
      </c>
      <c r="D38" s="39" t="n">
        <v>2.05</v>
      </c>
      <c r="E38" s="9" t="n">
        <v>2947603</v>
      </c>
      <c r="F38" s="17" t="n">
        <f aca="false">B38*$T$5*$T$6</f>
        <v>4331.3560545674</v>
      </c>
      <c r="G38" s="20" t="n">
        <f aca="false">F38*1000000/E38</f>
        <v>1469.45028030145</v>
      </c>
      <c r="H38" s="20" t="n">
        <v>3.74374744175835</v>
      </c>
      <c r="I38" s="40" t="n">
        <f aca="false">F38/06_COMPONENT_CALC!H35</f>
        <v>0.00914521879817513</v>
      </c>
      <c r="K38" s="41" t="n">
        <v>0.00887564446444751</v>
      </c>
      <c r="L38" s="41" t="n">
        <v>0.00974971432784106</v>
      </c>
      <c r="M38" s="41" t="n">
        <v>0.00773368178660681</v>
      </c>
      <c r="N38" s="41" t="n">
        <v>0.00940008638248364</v>
      </c>
      <c r="O38" s="41" t="n">
        <v>0.00722048327106282</v>
      </c>
      <c r="P38" s="41" t="n">
        <v>0.00565008240754013</v>
      </c>
      <c r="Q38" s="41" t="n">
        <v>0.00653439800246404</v>
      </c>
      <c r="R38" s="17" t="n">
        <f aca="false">SUMPRODUCT(K38:Q38,$K$5:$Q$5)</f>
        <v>3537.57231715539</v>
      </c>
      <c r="S38" s="19" t="n">
        <f aca="false">F38/R38-1</f>
        <v>0.224386575381818</v>
      </c>
      <c r="U38" s="21" t="n">
        <v>42700</v>
      </c>
    </row>
    <row r="39" customFormat="false" ht="15" hidden="false" customHeight="false" outlineLevel="0" collapsed="false">
      <c r="A39" s="3" t="s">
        <v>473</v>
      </c>
      <c r="B39" s="15" t="n">
        <v>2232.9</v>
      </c>
      <c r="C39" s="21" t="n">
        <v>1084</v>
      </c>
      <c r="D39" s="39" t="n">
        <v>2.77</v>
      </c>
      <c r="E39" s="9" t="n">
        <v>2117300</v>
      </c>
      <c r="F39" s="17" t="n">
        <f aca="false">B39*$T$5*$T$6</f>
        <v>4246.72211040817</v>
      </c>
      <c r="G39" s="20" t="n">
        <f aca="false">F39*1000000/E39</f>
        <v>2005.72526822281</v>
      </c>
      <c r="H39" s="20" t="n">
        <v>4.77820594134367</v>
      </c>
      <c r="I39" s="40" t="n">
        <f aca="false">F39/06_COMPONENT_CALC!H35</f>
        <v>0.00896652281305228</v>
      </c>
      <c r="K39" s="41" t="n">
        <v>0.00637548612366547</v>
      </c>
      <c r="L39" s="41" t="n">
        <v>0.0201076338973055</v>
      </c>
      <c r="M39" s="41" t="n">
        <v>0.00594097787253961</v>
      </c>
      <c r="N39" s="41" t="n">
        <v>0.0146147747878495</v>
      </c>
      <c r="O39" s="41" t="n">
        <v>0.0180858940389101</v>
      </c>
      <c r="P39" s="41" t="n">
        <v>0.00527146170547709</v>
      </c>
      <c r="Q39" s="41" t="n">
        <v>0.00570064016464471</v>
      </c>
      <c r="R39" s="17" t="n">
        <f aca="false">SUMPRODUCT(K39:Q39,$K$5:$Q$5)</f>
        <v>7514.83106652379</v>
      </c>
      <c r="S39" s="19" t="n">
        <f aca="false">F39/R39-1</f>
        <v>-0.434887880670268</v>
      </c>
      <c r="U39" s="21" t="n">
        <v>51860</v>
      </c>
    </row>
    <row r="40" customFormat="false" ht="15" hidden="false" customHeight="false" outlineLevel="0" collapsed="false">
      <c r="A40" s="3" t="s">
        <v>474</v>
      </c>
      <c r="B40" s="15" t="n">
        <v>2075.8</v>
      </c>
      <c r="C40" s="21" t="n">
        <v>728</v>
      </c>
      <c r="D40" s="39" t="n">
        <v>2.18</v>
      </c>
      <c r="E40" s="9" t="n">
        <v>2938966</v>
      </c>
      <c r="F40" s="17" t="n">
        <f aca="false">B40*$T$5*$T$6</f>
        <v>3947.93575923027</v>
      </c>
      <c r="G40" s="20" t="n">
        <f aca="false">F40*1000000/E40</f>
        <v>1343.30773449923</v>
      </c>
      <c r="H40" s="20" t="n">
        <v>3.47057400835091</v>
      </c>
      <c r="I40" s="40" t="n">
        <f aca="false">F40/06_COMPONENT_CALC!H35</f>
        <v>0.00833566575096687</v>
      </c>
      <c r="K40" s="41" t="n">
        <v>0.00884963725070827</v>
      </c>
      <c r="L40" s="41" t="n">
        <v>0.00984186663717793</v>
      </c>
      <c r="M40" s="41" t="n">
        <v>0.00760392321612973</v>
      </c>
      <c r="N40" s="41" t="n">
        <v>0.00944497488259007</v>
      </c>
      <c r="O40" s="41" t="n">
        <v>0.00848018961834304</v>
      </c>
      <c r="P40" s="41" t="n">
        <v>0.00646338340114775</v>
      </c>
      <c r="Q40" s="41" t="n">
        <v>0.00758027336027725</v>
      </c>
      <c r="R40" s="17" t="n">
        <f aca="false">SUMPRODUCT(K40:Q40,$K$5:$Q$5)</f>
        <v>3994.71124398707</v>
      </c>
      <c r="S40" s="19" t="n">
        <f aca="false">F40/R40-1</f>
        <v>-0.0117093531671927</v>
      </c>
      <c r="U40" s="21" t="n">
        <v>49680</v>
      </c>
    </row>
    <row r="41" customFormat="false" ht="15" hidden="false" customHeight="false" outlineLevel="0" collapsed="false">
      <c r="A41" s="3" t="s">
        <v>475</v>
      </c>
      <c r="B41" s="15" t="n">
        <v>2073.3</v>
      </c>
      <c r="C41" s="21" t="n">
        <v>711</v>
      </c>
      <c r="D41" s="39" t="n">
        <v>2.27</v>
      </c>
      <c r="E41" s="9" t="n">
        <v>3027127</v>
      </c>
      <c r="F41" s="17" t="n">
        <f aca="false">B41*$T$5*$T$6</f>
        <v>3943.18104326627</v>
      </c>
      <c r="G41" s="20" t="n">
        <f aca="false">F41*1000000/E41</f>
        <v>1302.61500203535</v>
      </c>
      <c r="H41" s="20" t="n">
        <v>3.83336229756628</v>
      </c>
      <c r="I41" s="40" t="n">
        <f aca="false">F41/06_COMPONENT_CALC!H35</f>
        <v>0.00832562665067907</v>
      </c>
      <c r="K41" s="41" t="n">
        <v>0.00911510233933457</v>
      </c>
      <c r="L41" s="41" t="n">
        <v>0.00761178075122563</v>
      </c>
      <c r="M41" s="41" t="n">
        <v>0.0068759990129892</v>
      </c>
      <c r="N41" s="41" t="n">
        <v>0.00821310938646921</v>
      </c>
      <c r="O41" s="41" t="n">
        <v>0.00613883165086022</v>
      </c>
      <c r="P41" s="41" t="n">
        <v>0.00547052953670755</v>
      </c>
      <c r="Q41" s="41" t="n">
        <v>0.0073078952398367</v>
      </c>
      <c r="R41" s="17" t="n">
        <f aca="false">SUMPRODUCT(K41:Q41,$K$5:$Q$5)</f>
        <v>3062.94427808428</v>
      </c>
      <c r="S41" s="19" t="n">
        <f aca="false">F41/R41-1</f>
        <v>0.287382559154007</v>
      </c>
      <c r="U41" s="21" t="n">
        <v>46500</v>
      </c>
    </row>
    <row r="42" customFormat="false" ht="15" hidden="false" customHeight="false" outlineLevel="0" collapsed="false">
      <c r="A42" s="3" t="s">
        <v>476</v>
      </c>
      <c r="B42" s="15" t="n">
        <v>1933.6</v>
      </c>
      <c r="C42" s="21" t="n">
        <v>635</v>
      </c>
      <c r="D42" s="39" t="n">
        <v>1.59</v>
      </c>
      <c r="E42" s="9" t="n">
        <v>3199037</v>
      </c>
      <c r="F42" s="17" t="n">
        <f aca="false">B42*$T$5*$T$6</f>
        <v>3677.48751519783</v>
      </c>
      <c r="G42" s="20" t="n">
        <f aca="false">F42*1000000/E42</f>
        <v>1149.5607944509</v>
      </c>
      <c r="H42" s="20" t="n">
        <v>2.71507243706453</v>
      </c>
      <c r="I42" s="40" t="n">
        <f aca="false">F42/06_COMPONENT_CALC!H35</f>
        <v>0.00776464172659675</v>
      </c>
      <c r="K42" s="41" t="n">
        <v>0.00963274736815398</v>
      </c>
      <c r="L42" s="41" t="n">
        <v>0.0112057208153636</v>
      </c>
      <c r="M42" s="41" t="n">
        <v>0.00905396354683418</v>
      </c>
      <c r="N42" s="41" t="n">
        <v>0.0105765314364798</v>
      </c>
      <c r="O42" s="41" t="n">
        <v>0.0099390991267669</v>
      </c>
      <c r="P42" s="41" t="n">
        <v>0.00792209550896134</v>
      </c>
      <c r="Q42" s="41" t="n">
        <v>0.00849353939066377</v>
      </c>
      <c r="R42" s="17" t="n">
        <f aca="false">SUMPRODUCT(K42:Q42,$K$5:$Q$5)</f>
        <v>4660.43975682893</v>
      </c>
      <c r="S42" s="19" t="n">
        <f aca="false">F42/R42-1</f>
        <v>-0.210914053805928</v>
      </c>
      <c r="U42" s="21" t="n">
        <v>51140</v>
      </c>
    </row>
    <row r="43" customFormat="false" ht="15" hidden="false" customHeight="false" outlineLevel="0" collapsed="false">
      <c r="A43" s="3" t="s">
        <v>477</v>
      </c>
      <c r="B43" s="15" t="n">
        <v>1636.1</v>
      </c>
      <c r="C43" s="21" t="n">
        <v>592</v>
      </c>
      <c r="D43" s="39" t="n">
        <v>2.74</v>
      </c>
      <c r="E43" s="9" t="n">
        <v>3339874</v>
      </c>
      <c r="F43" s="17" t="n">
        <f aca="false">B43*$T$5*$T$6</f>
        <v>3111.67631548157</v>
      </c>
      <c r="G43" s="20" t="n">
        <f aca="false">F43*1000000/E43</f>
        <v>931.67476242564</v>
      </c>
      <c r="H43" s="20" t="n">
        <v>4.23725264103589</v>
      </c>
      <c r="I43" s="40" t="n">
        <f aca="false">F43/06_COMPONENT_CALC!H35</f>
        <v>0.00656998879234844</v>
      </c>
      <c r="K43" s="41" t="n">
        <v>0.0100568272525344</v>
      </c>
      <c r="L43" s="41" t="n">
        <v>0.00794352906483837</v>
      </c>
      <c r="M43" s="41" t="n">
        <v>0.00490884151292806</v>
      </c>
      <c r="N43" s="41" t="n">
        <v>0.00878884833991678</v>
      </c>
      <c r="O43" s="41" t="n">
        <v>0.00735700830415831</v>
      </c>
      <c r="P43" s="41" t="n">
        <v>0.00448498377612248</v>
      </c>
      <c r="Q43" s="41" t="n">
        <v>0.00925934057225638</v>
      </c>
      <c r="R43" s="17" t="n">
        <f aca="false">SUMPRODUCT(K43:Q43,$K$5:$Q$5)</f>
        <v>3438.89177989539</v>
      </c>
      <c r="S43" s="19" t="n">
        <f aca="false">F43/R43-1</f>
        <v>-0.0951514282382483</v>
      </c>
      <c r="U43" s="21" t="n">
        <v>53400</v>
      </c>
    </row>
    <row r="44" customFormat="false" ht="15" hidden="false" customHeight="false" outlineLevel="0" collapsed="false">
      <c r="A44" s="3" t="s">
        <v>478</v>
      </c>
      <c r="B44" s="15" t="n">
        <v>1334.9</v>
      </c>
      <c r="C44" s="21" t="n">
        <v>720</v>
      </c>
      <c r="D44" s="39" t="n">
        <v>2.2</v>
      </c>
      <c r="E44" s="9" t="n">
        <v>1785921</v>
      </c>
      <c r="F44" s="17" t="n">
        <f aca="false">B44*$T$5*$T$6</f>
        <v>2538.82813613859</v>
      </c>
      <c r="G44" s="20" t="n">
        <f aca="false">F44*1000000/E44</f>
        <v>1421.57919423009</v>
      </c>
      <c r="H44" s="20" t="n">
        <v>4.57488673546451</v>
      </c>
      <c r="I44" s="40" t="n">
        <f aca="false">F44/06_COMPONENT_CALC!H35</f>
        <v>0.00536047798967418</v>
      </c>
      <c r="K44" s="41" t="n">
        <v>0.00537765765525092</v>
      </c>
      <c r="L44" s="41" t="n">
        <v>0.00586088687382506</v>
      </c>
      <c r="M44" s="41" t="n">
        <v>0.00370955583076534</v>
      </c>
      <c r="N44" s="41" t="n">
        <v>0.0056675951863954</v>
      </c>
      <c r="O44" s="41" t="n">
        <v>0.00472573522542218</v>
      </c>
      <c r="P44" s="41" t="n">
        <v>0.00295067968529915</v>
      </c>
      <c r="Q44" s="41" t="n">
        <v>0.00431052837835075</v>
      </c>
      <c r="R44" s="17" t="n">
        <f aca="false">SUMPRODUCT(K44:Q44,$K$5:$Q$5)</f>
        <v>2218.0507656088</v>
      </c>
      <c r="S44" s="19" t="n">
        <f aca="false">F44/R44-1</f>
        <v>0.144621293391248</v>
      </c>
      <c r="U44" s="21" t="n">
        <v>46490</v>
      </c>
    </row>
    <row r="45" customFormat="false" ht="15" hidden="false" customHeight="false" outlineLevel="0" collapsed="false">
      <c r="A45" s="3" t="s">
        <v>479</v>
      </c>
      <c r="B45" s="15" t="n">
        <v>1166.5</v>
      </c>
      <c r="C45" s="21" t="n">
        <v>639</v>
      </c>
      <c r="D45" s="39" t="n">
        <v>1.61</v>
      </c>
      <c r="E45" s="9" t="n">
        <v>1964697</v>
      </c>
      <c r="F45" s="17" t="n">
        <f aca="false">B45*$T$5*$T$6</f>
        <v>2218.55046880341</v>
      </c>
      <c r="G45" s="20" t="n">
        <f aca="false">F45*1000000/E45</f>
        <v>1129.2074395204</v>
      </c>
      <c r="H45" s="20" t="n">
        <v>3.00198683495737</v>
      </c>
      <c r="I45" s="40" t="n">
        <f aca="false">F45/06_COMPONENT_CALC!H35</f>
        <v>0.00468424419428791</v>
      </c>
      <c r="K45" s="41" t="n">
        <v>0.00591597716937004</v>
      </c>
      <c r="L45" s="41" t="n">
        <v>0.00670868811972428</v>
      </c>
      <c r="M45" s="41" t="n">
        <v>0.00494002884599967</v>
      </c>
      <c r="N45" s="41" t="n">
        <v>0.00639160373958258</v>
      </c>
      <c r="O45" s="41" t="n">
        <v>0.00606324581773973</v>
      </c>
      <c r="P45" s="41" t="n">
        <v>0.00440444475218417</v>
      </c>
      <c r="Q45" s="41" t="n">
        <v>0.00531527052984035</v>
      </c>
      <c r="R45" s="17" t="n">
        <f aca="false">SUMPRODUCT(K45:Q45,$K$5:$Q$5)</f>
        <v>2809.38011720115</v>
      </c>
      <c r="S45" s="19" t="n">
        <f aca="false">F45/R45-1</f>
        <v>-0.21030605462758</v>
      </c>
      <c r="U45" s="21" t="n">
        <v>52110</v>
      </c>
    </row>
    <row r="46" customFormat="false" ht="15" hidden="false" customHeight="false" outlineLevel="0" collapsed="false">
      <c r="A46" s="3" t="s">
        <v>480</v>
      </c>
      <c r="B46" s="15" t="n">
        <v>1137.9</v>
      </c>
      <c r="C46" s="21" t="n">
        <v>726</v>
      </c>
      <c r="D46" s="39" t="n">
        <v>1.62</v>
      </c>
      <c r="E46" s="9" t="n">
        <v>1904855</v>
      </c>
      <c r="F46" s="17" t="n">
        <f aca="false">B46*$T$5*$T$6</f>
        <v>2164.15651817522</v>
      </c>
      <c r="G46" s="20" t="n">
        <f aca="false">F46*1000000/E46</f>
        <v>1136.12664385227</v>
      </c>
      <c r="H46" s="20" t="n">
        <v>3.43526903614708</v>
      </c>
      <c r="I46" s="40" t="n">
        <f aca="false">F46/06_COMPONENT_CALC!H35</f>
        <v>0.00456939688699547</v>
      </c>
      <c r="K46" s="41" t="n">
        <v>0.00573578454640098</v>
      </c>
      <c r="L46" s="41" t="n">
        <v>0.00766707213682775</v>
      </c>
      <c r="M46" s="41" t="n">
        <v>0.00421111273134177</v>
      </c>
      <c r="N46" s="41" t="n">
        <v>0.00689455710065704</v>
      </c>
      <c r="O46" s="41" t="n">
        <v>0.00637491031614317</v>
      </c>
      <c r="P46" s="41" t="n">
        <v>0.00345410476626491</v>
      </c>
      <c r="Q46" s="41" t="n">
        <v>0.00474098597241254</v>
      </c>
      <c r="R46" s="17" t="n">
        <f aca="false">SUMPRODUCT(K46:Q46,$K$5:$Q$5)</f>
        <v>2894.5305408013</v>
      </c>
      <c r="S46" s="19" t="n">
        <f aca="false">F46/R46-1</f>
        <v>-0.252329008912059</v>
      </c>
      <c r="U46" s="21" t="n">
        <v>47940</v>
      </c>
    </row>
    <row r="47" customFormat="false" ht="15" hidden="false" customHeight="false" outlineLevel="0" collapsed="false">
      <c r="A47" s="3" t="s">
        <v>481</v>
      </c>
      <c r="B47" s="15" t="n">
        <v>959.9</v>
      </c>
      <c r="C47" s="21" t="n">
        <v>729</v>
      </c>
      <c r="D47" s="39" t="n">
        <v>0.92</v>
      </c>
      <c r="E47" s="9" t="n">
        <v>1387907</v>
      </c>
      <c r="F47" s="17" t="n">
        <f aca="false">B47*$T$5*$T$6</f>
        <v>1825.62074153827</v>
      </c>
      <c r="G47" s="20" t="n">
        <f aca="false">F47*1000000/E47</f>
        <v>1315.37685272736</v>
      </c>
      <c r="H47" s="20" t="n">
        <v>1.72348021726187</v>
      </c>
      <c r="I47" s="40" t="n">
        <f aca="false">F47/06_COMPONENT_CALC!H35</f>
        <v>0.00385461294650404</v>
      </c>
      <c r="K47" s="41" t="n">
        <v>0.00417918189176696</v>
      </c>
      <c r="L47" s="41" t="n">
        <v>0.00499465516605846</v>
      </c>
      <c r="M47" s="41" t="n">
        <v>0.00708065140950768</v>
      </c>
      <c r="N47" s="41" t="n">
        <v>0.00466846585634186</v>
      </c>
      <c r="O47" s="41" t="n">
        <v>0.00513436733981606</v>
      </c>
      <c r="P47" s="41" t="n">
        <v>0.00718040184587691</v>
      </c>
      <c r="Q47" s="41" t="n">
        <v>0.00427074864550395</v>
      </c>
      <c r="R47" s="17" t="n">
        <f aca="false">SUMPRODUCT(K47:Q47,$K$5:$Q$5)</f>
        <v>2510.90472003612</v>
      </c>
      <c r="S47" s="19" t="n">
        <f aca="false">F47/R47-1</f>
        <v>-0.272923131264015</v>
      </c>
      <c r="U47" s="21" t="n">
        <v>59270</v>
      </c>
    </row>
    <row r="48" customFormat="false" ht="15" hidden="false" customHeight="false" outlineLevel="0" collapsed="false">
      <c r="A48" s="3" t="s">
        <v>482</v>
      </c>
      <c r="B48" s="15" t="n">
        <v>938.7</v>
      </c>
      <c r="C48" s="21" t="n">
        <v>707</v>
      </c>
      <c r="D48" s="39" t="n">
        <v>1.58</v>
      </c>
      <c r="E48" s="9" t="n">
        <v>1379009</v>
      </c>
      <c r="F48" s="17" t="n">
        <f aca="false">B48*$T$5*$T$6</f>
        <v>1785.30075016353</v>
      </c>
      <c r="G48" s="20" t="n">
        <f aca="false">F48*1000000/E48</f>
        <v>1294.62588725928</v>
      </c>
      <c r="H48" s="20" t="n">
        <v>2.55355655987881</v>
      </c>
      <c r="I48" s="40" t="n">
        <f aca="false">F48/06_COMPONENT_CALC!H35</f>
        <v>0.00376948137606349</v>
      </c>
      <c r="K48" s="41" t="n">
        <v>0.00415238877056147</v>
      </c>
      <c r="L48" s="41" t="n">
        <v>0.00602676103063143</v>
      </c>
      <c r="M48" s="41" t="n">
        <v>0.00467342052159094</v>
      </c>
      <c r="N48" s="41" t="n">
        <v>0.00527701212660344</v>
      </c>
      <c r="O48" s="41" t="n">
        <v>0.00556399765000493</v>
      </c>
      <c r="P48" s="41" t="n">
        <v>0.00425629710928643</v>
      </c>
      <c r="Q48" s="41" t="n">
        <v>0.00381094152630166</v>
      </c>
      <c r="R48" s="17" t="n">
        <f aca="false">SUMPRODUCT(K48:Q48,$K$5:$Q$5)</f>
        <v>2541.84842409104</v>
      </c>
      <c r="S48" s="19" t="n">
        <f aca="false">F48/R48-1</f>
        <v>-0.297636816875913</v>
      </c>
      <c r="U48" s="21" t="n">
        <v>53230</v>
      </c>
    </row>
    <row r="49" customFormat="false" ht="15" hidden="false" customHeight="false" outlineLevel="0" collapsed="false">
      <c r="A49" s="3" t="s">
        <v>483</v>
      </c>
      <c r="B49" s="15" t="n">
        <v>937.4</v>
      </c>
      <c r="C49" s="21" t="n">
        <v>689</v>
      </c>
      <c r="D49" s="39" t="n">
        <v>1.58</v>
      </c>
      <c r="E49" s="9" t="n">
        <v>1446909</v>
      </c>
      <c r="F49" s="17" t="n">
        <f aca="false">B49*$T$5*$T$6</f>
        <v>1782.82829786225</v>
      </c>
      <c r="G49" s="20" t="n">
        <f aca="false">F49*1000000/E49</f>
        <v>1232.16338958583</v>
      </c>
      <c r="H49" s="20" t="n">
        <v>2.56844205277756</v>
      </c>
      <c r="I49" s="40" t="n">
        <f aca="false">F49/06_COMPONENT_CALC!H35</f>
        <v>0.00376426104391384</v>
      </c>
      <c r="K49" s="41" t="n">
        <v>0.00435684515737339</v>
      </c>
      <c r="L49" s="41" t="n">
        <v>0.00258026466143242</v>
      </c>
      <c r="M49" s="41" t="n">
        <v>0.00463990087244721</v>
      </c>
      <c r="N49" s="41" t="n">
        <v>0.00329089685980881</v>
      </c>
      <c r="O49" s="41" t="n">
        <v>0.00267436908660767</v>
      </c>
      <c r="P49" s="41" t="n">
        <v>0.00474416625194847</v>
      </c>
      <c r="Q49" s="41" t="n">
        <v>0.00448911287235018</v>
      </c>
      <c r="R49" s="17" t="n">
        <f aca="false">SUMPRODUCT(K49:Q49,$K$5:$Q$5)</f>
        <v>1437.29113687524</v>
      </c>
      <c r="S49" s="19" t="n">
        <f aca="false">F49/R49-1</f>
        <v>0.240408607638275</v>
      </c>
      <c r="U49" s="21" t="n">
        <v>59760</v>
      </c>
    </row>
    <row r="50" customFormat="false" ht="15" hidden="false" customHeight="false" outlineLevel="0" collapsed="false">
      <c r="A50" s="3" t="s">
        <v>484</v>
      </c>
      <c r="B50" s="15" t="n">
        <v>918.4</v>
      </c>
      <c r="C50" s="21" t="n">
        <v>1526</v>
      </c>
      <c r="D50" s="39" t="n">
        <v>2.14</v>
      </c>
      <c r="E50" s="9" t="n">
        <v>669637</v>
      </c>
      <c r="F50" s="17" t="n">
        <f aca="false">B50*$T$5*$T$6</f>
        <v>1746.69245653583</v>
      </c>
      <c r="G50" s="20" t="n">
        <f aca="false">F50*1000000/E50</f>
        <v>2608.41688337985</v>
      </c>
      <c r="H50" s="20" t="n">
        <v>3.72839289023171</v>
      </c>
      <c r="I50" s="40" t="n">
        <f aca="false">F50/06_COMPONENT_CALC!H35</f>
        <v>0.00368796388172655</v>
      </c>
      <c r="K50" s="41" t="n">
        <v>0.00201637056694516</v>
      </c>
      <c r="L50" s="41" t="n">
        <v>0.00186147664860481</v>
      </c>
      <c r="M50" s="41" t="n">
        <v>0.00313158157372897</v>
      </c>
      <c r="N50" s="41" t="n">
        <v>0.00192343421594095</v>
      </c>
      <c r="O50" s="41" t="n">
        <v>0.00317589959743847</v>
      </c>
      <c r="P50" s="41" t="n">
        <v>0.00527068436260987</v>
      </c>
      <c r="Q50" s="41" t="n">
        <v>0.00341987972043204</v>
      </c>
      <c r="R50" s="17" t="n">
        <f aca="false">SUMPRODUCT(K50:Q50,$K$5:$Q$5)</f>
        <v>1464.25840271887</v>
      </c>
      <c r="S50" s="19" t="n">
        <f aca="false">F50/R50-1</f>
        <v>0.192885390510668</v>
      </c>
      <c r="U50" s="21" t="n">
        <v>98370</v>
      </c>
    </row>
    <row r="51" customFormat="false" ht="15" hidden="false" customHeight="false" outlineLevel="0" collapsed="false">
      <c r="A51" s="3" t="s">
        <v>485</v>
      </c>
      <c r="B51" s="15" t="n">
        <v>886.5</v>
      </c>
      <c r="C51" s="21" t="n">
        <v>842</v>
      </c>
      <c r="D51" s="39" t="n">
        <v>1.82</v>
      </c>
      <c r="E51" s="9" t="n">
        <v>1097381</v>
      </c>
      <c r="F51" s="17" t="n">
        <f aca="false">B51*$T$5*$T$6</f>
        <v>1686.02228083516</v>
      </c>
      <c r="G51" s="20" t="n">
        <f aca="false">F51*1000000/E51</f>
        <v>1536.40557002095</v>
      </c>
      <c r="H51" s="20" t="n">
        <v>3.07452888239954</v>
      </c>
      <c r="I51" s="40" t="n">
        <f aca="false">F51/06_COMPONENT_CALC!H35</f>
        <v>0.00355986496205421</v>
      </c>
      <c r="K51" s="41" t="n">
        <v>0.00330436751422762</v>
      </c>
      <c r="L51" s="41" t="n">
        <v>0.00398097976335287</v>
      </c>
      <c r="M51" s="41" t="n">
        <v>0.0036656727226417</v>
      </c>
      <c r="N51" s="41" t="n">
        <v>0.00371033486370277</v>
      </c>
      <c r="O51" s="41" t="n">
        <v>0.00428911723735116</v>
      </c>
      <c r="P51" s="41" t="n">
        <v>0.00389606096064498</v>
      </c>
      <c r="Q51" s="41" t="n">
        <v>0.00353913885429306</v>
      </c>
      <c r="R51" s="17" t="n">
        <f aca="false">SUMPRODUCT(K51:Q51,$K$5:$Q$5)</f>
        <v>1957.32449436501</v>
      </c>
      <c r="S51" s="19" t="n">
        <f aca="false">F51/R51-1</f>
        <v>-0.138608705051668</v>
      </c>
      <c r="U51" s="21" t="n">
        <v>62120</v>
      </c>
    </row>
    <row r="52" customFormat="false" ht="15" hidden="false" customHeight="false" outlineLevel="0" collapsed="false">
      <c r="A52" s="3" t="s">
        <v>486</v>
      </c>
      <c r="B52" s="15" t="n">
        <v>870.8</v>
      </c>
      <c r="C52" s="21" t="n">
        <v>880</v>
      </c>
      <c r="D52" s="39" t="n">
        <v>1.73</v>
      </c>
      <c r="E52" s="9" t="n">
        <v>1106416</v>
      </c>
      <c r="F52" s="17" t="n">
        <f aca="false">B52*$T$5*$T$6</f>
        <v>1656.16266458123</v>
      </c>
      <c r="G52" s="20" t="n">
        <f aca="false">F52*1000000/E52</f>
        <v>1496.87157866592</v>
      </c>
      <c r="H52" s="20" t="n">
        <v>2.64019100127991</v>
      </c>
      <c r="I52" s="40" t="n">
        <f aca="false">F52/06_COMPONENT_CALC!H35</f>
        <v>0.00349681941224682</v>
      </c>
      <c r="K52" s="41" t="n">
        <v>0.00333157316157439</v>
      </c>
      <c r="L52" s="41" t="n">
        <v>0.00685613181466328</v>
      </c>
      <c r="M52" s="41" t="n">
        <v>0.00419311331497094</v>
      </c>
      <c r="N52" s="41" t="n">
        <v>0.00544630835342772</v>
      </c>
      <c r="O52" s="41" t="n">
        <v>0.00586711774631367</v>
      </c>
      <c r="P52" s="41" t="n">
        <v>0.00353978066554914</v>
      </c>
      <c r="Q52" s="41" t="n">
        <v>0.00283417270452709</v>
      </c>
      <c r="R52" s="17" t="n">
        <f aca="false">SUMPRODUCT(K52:Q52,$K$5:$Q$5)</f>
        <v>2614.24977914355</v>
      </c>
      <c r="S52" s="19" t="n">
        <f aca="false">F52/R52-1</f>
        <v>-0.366486447548328</v>
      </c>
      <c r="U52" s="21" t="n">
        <v>49340</v>
      </c>
    </row>
    <row r="53" customFormat="false" ht="15" hidden="false" customHeight="false" outlineLevel="0" collapsed="false">
      <c r="A53" s="3" t="s">
        <v>487</v>
      </c>
      <c r="B53" s="15" t="n">
        <v>827.2</v>
      </c>
      <c r="C53" s="21" t="n">
        <v>1165</v>
      </c>
      <c r="D53" s="39" t="n">
        <v>2.25</v>
      </c>
      <c r="E53" s="9" t="n">
        <v>734590</v>
      </c>
      <c r="F53" s="17" t="n">
        <f aca="false">B53*$T$5*$T$6</f>
        <v>1573.24041816903</v>
      </c>
      <c r="G53" s="20" t="n">
        <f aca="false">F53*1000000/E53</f>
        <v>2141.65782023855</v>
      </c>
      <c r="H53" s="20" t="n">
        <v>4.19420024739506</v>
      </c>
      <c r="I53" s="40" t="n">
        <f aca="false">F53/06_COMPONENT_CALC!H35</f>
        <v>0.00332173750322757</v>
      </c>
      <c r="K53" s="41" t="n">
        <v>0.00221195312500988</v>
      </c>
      <c r="L53" s="41" t="n">
        <v>0.00580559548822294</v>
      </c>
      <c r="M53" s="41" t="n">
        <v>0.00250734958502911</v>
      </c>
      <c r="N53" s="41" t="n">
        <v>0.00436813854293771</v>
      </c>
      <c r="O53" s="41" t="n">
        <v>0.00639190322356381</v>
      </c>
      <c r="P53" s="41" t="n">
        <v>0.00272328074926893</v>
      </c>
      <c r="Q53" s="41" t="n">
        <v>0.00242097691610094</v>
      </c>
      <c r="R53" s="17" t="n">
        <f aca="false">SUMPRODUCT(K53:Q53,$K$5:$Q$5)</f>
        <v>2646.30962516224</v>
      </c>
      <c r="S53" s="19" t="n">
        <f aca="false">F53/R53-1</f>
        <v>-0.405496468285498</v>
      </c>
      <c r="U53" s="21" t="n">
        <v>63480</v>
      </c>
    </row>
    <row r="54" customFormat="false" ht="15" hidden="false" customHeight="false" outlineLevel="0" collapsed="false">
      <c r="A54" s="3" t="s">
        <v>488</v>
      </c>
      <c r="B54" s="15" t="n">
        <v>803.8</v>
      </c>
      <c r="C54" s="21" t="n">
        <v>895</v>
      </c>
      <c r="D54" s="39" t="n">
        <v>1.64</v>
      </c>
      <c r="E54" s="9" t="n">
        <v>1005130</v>
      </c>
      <c r="F54" s="17" t="n">
        <f aca="false">B54*$T$5*$T$6</f>
        <v>1528.73627674597</v>
      </c>
      <c r="G54" s="20" t="n">
        <f aca="false">F54*1000000/E54</f>
        <v>1520.93388591125</v>
      </c>
      <c r="H54" s="20" t="n">
        <v>2.04640894747411</v>
      </c>
      <c r="I54" s="40" t="n">
        <f aca="false">F54/06_COMPONENT_CALC!H35</f>
        <v>0.00322777152453375</v>
      </c>
      <c r="K54" s="41" t="n">
        <v>0.00302658686415712</v>
      </c>
      <c r="L54" s="41" t="n">
        <v>0.00291201297504516</v>
      </c>
      <c r="M54" s="41" t="n">
        <v>0.00499354652940848</v>
      </c>
      <c r="N54" s="41" t="n">
        <v>0.00295784253068994</v>
      </c>
      <c r="O54" s="41" t="n">
        <v>0.00302124687849225</v>
      </c>
      <c r="P54" s="41" t="n">
        <v>0.00511088510953348</v>
      </c>
      <c r="Q54" s="41" t="n">
        <v>0.00312160079483853</v>
      </c>
      <c r="R54" s="17" t="n">
        <f aca="false">SUMPRODUCT(K54:Q54,$K$5:$Q$5)</f>
        <v>1545.14459987547</v>
      </c>
      <c r="S54" s="19" t="n">
        <f aca="false">F54/R54-1</f>
        <v>-0.0106192799889516</v>
      </c>
      <c r="U54" s="21" t="n">
        <v>59820</v>
      </c>
    </row>
    <row r="55" customFormat="false" ht="15" hidden="false" customHeight="false" outlineLevel="0" collapsed="false">
      <c r="A55" s="3" t="s">
        <v>489</v>
      </c>
      <c r="B55" s="15" t="n">
        <v>598.2</v>
      </c>
      <c r="C55" s="21" t="n">
        <v>735</v>
      </c>
      <c r="D55" s="39" t="n">
        <v>1.59</v>
      </c>
      <c r="E55" s="9" t="n">
        <v>896303</v>
      </c>
      <c r="F55" s="17" t="n">
        <f aca="false">B55*$T$5*$T$6</f>
        <v>1137.70843586644</v>
      </c>
      <c r="G55" s="20" t="n">
        <f aca="false">F55*1000000/E55</f>
        <v>1269.33462887711</v>
      </c>
      <c r="H55" s="20" t="n">
        <v>3.23390885237646</v>
      </c>
      <c r="I55" s="40" t="n">
        <f aca="false">F55/06_COMPONENT_CALC!H35</f>
        <v>0.00240215591686501</v>
      </c>
      <c r="K55" s="41" t="n">
        <v>0.00269889356213089</v>
      </c>
      <c r="L55" s="41" t="n">
        <v>0.00694828412400015</v>
      </c>
      <c r="M55" s="41" t="n">
        <v>0.00235164714731972</v>
      </c>
      <c r="N55" s="41" t="n">
        <v>0.00524852789925244</v>
      </c>
      <c r="O55" s="41" t="n">
        <v>0.00564108586583567</v>
      </c>
      <c r="P55" s="41" t="n">
        <v>0.00188343834683383</v>
      </c>
      <c r="Q55" s="41" t="n">
        <v>0.00217822234856098</v>
      </c>
      <c r="R55" s="17" t="n">
        <f aca="false">SUMPRODUCT(K55:Q55,$K$5:$Q$5)</f>
        <v>2412.53378243812</v>
      </c>
      <c r="S55" s="19" t="n">
        <f aca="false">F55/R55-1</f>
        <v>-0.528417614647178</v>
      </c>
      <c r="U55" s="21" t="n">
        <v>46810</v>
      </c>
    </row>
    <row r="56" customFormat="false" ht="15" hidden="false" customHeight="false" outlineLevel="0" collapsed="false">
      <c r="A56" s="3" t="s">
        <v>490</v>
      </c>
      <c r="B56" s="15" t="n">
        <v>593.1</v>
      </c>
      <c r="C56" s="21" t="n">
        <v>1052</v>
      </c>
      <c r="D56" s="39" t="n">
        <v>2.33</v>
      </c>
      <c r="E56" s="9" t="n">
        <v>579662</v>
      </c>
      <c r="F56" s="17" t="n">
        <f aca="false">B56*$T$5*$T$6</f>
        <v>1128.00881529987</v>
      </c>
      <c r="G56" s="20" t="n">
        <f aca="false">F56*1000000/E56</f>
        <v>1945.97681976716</v>
      </c>
      <c r="H56" s="20" t="n">
        <v>3.8521063154733</v>
      </c>
      <c r="I56" s="40" t="n">
        <f aca="false">F56/06_COMPONENT_CALC!H35</f>
        <v>0.00238167615227789</v>
      </c>
      <c r="K56" s="41" t="n">
        <v>0.00174544327087148</v>
      </c>
      <c r="L56" s="41" t="n">
        <v>0.00423900622949611</v>
      </c>
      <c r="M56" s="41" t="n">
        <v>0.00195741622687285</v>
      </c>
      <c r="N56" s="41" t="n">
        <v>0.00324158104604626</v>
      </c>
      <c r="O56" s="41" t="n">
        <v>0.00383117180791247</v>
      </c>
      <c r="P56" s="41" t="n">
        <v>0.00174519864094956</v>
      </c>
      <c r="Q56" s="41" t="n">
        <v>0.00156821145747579</v>
      </c>
      <c r="R56" s="17" t="n">
        <f aca="false">SUMPRODUCT(K56:Q56,$K$5:$Q$5)</f>
        <v>1643.85588153134</v>
      </c>
      <c r="S56" s="19" t="n">
        <f aca="false">F56/R56-1</f>
        <v>-0.313803096747708</v>
      </c>
      <c r="U56" s="21" t="n">
        <v>52110</v>
      </c>
    </row>
    <row r="57" customFormat="false" ht="15" hidden="false" customHeight="false" outlineLevel="0" collapsed="false">
      <c r="A57" s="3" t="s">
        <v>491</v>
      </c>
      <c r="B57" s="15" t="n">
        <v>513</v>
      </c>
      <c r="C57" s="21" t="n">
        <v>820</v>
      </c>
      <c r="D57" s="39" t="n">
        <v>1.66</v>
      </c>
      <c r="E57" s="9" t="n">
        <v>647238</v>
      </c>
      <c r="F57" s="17" t="n">
        <f aca="false">B57*$T$5*$T$6</f>
        <v>975.667715813242</v>
      </c>
      <c r="G57" s="20" t="n">
        <f aca="false">F57*1000000/E57</f>
        <v>1507.43268444257</v>
      </c>
      <c r="H57" s="20" t="n">
        <v>2.80253867454674</v>
      </c>
      <c r="I57" s="40" t="n">
        <f aca="false">F57/06_COMPONENT_CALC!H35</f>
        <v>0.00206002337905675</v>
      </c>
      <c r="K57" s="41" t="n">
        <v>0.00194892404841496</v>
      </c>
      <c r="L57" s="41" t="n">
        <v>0.00267241697076929</v>
      </c>
      <c r="M57" s="41" t="n">
        <v>0.00232712266344066</v>
      </c>
      <c r="N57" s="41" t="n">
        <v>0.00238301980182756</v>
      </c>
      <c r="O57" s="41" t="n">
        <v>0.00257011331619302</v>
      </c>
      <c r="P57" s="41" t="n">
        <v>0.00220780867196919</v>
      </c>
      <c r="Q57" s="41" t="n">
        <v>0.00186326349826719</v>
      </c>
      <c r="R57" s="17" t="n">
        <f aca="false">SUMPRODUCT(K57:Q57,$K$5:$Q$5)</f>
        <v>1183.04144886269</v>
      </c>
      <c r="S57" s="19" t="n">
        <f aca="false">F57/R57-1</f>
        <v>-0.17528864542219</v>
      </c>
      <c r="U57" s="21" t="n">
        <v>55450</v>
      </c>
    </row>
    <row r="58" customFormat="false" ht="15" hidden="false" customHeight="false" outlineLevel="0" collapsed="false">
      <c r="A58" s="3" t="s">
        <v>492</v>
      </c>
      <c r="B58" s="15" t="n">
        <v>487.6</v>
      </c>
      <c r="C58" s="21" t="n">
        <v>725</v>
      </c>
      <c r="D58" s="39" t="n">
        <v>1.4</v>
      </c>
      <c r="E58" s="9" t="n">
        <v>777977</v>
      </c>
      <c r="F58" s="17" t="n">
        <f aca="false">B58*$T$5*$T$6</f>
        <v>927.35980161898</v>
      </c>
      <c r="G58" s="20" t="n">
        <f aca="false">F58*1000000/E58</f>
        <v>1192.01441895966</v>
      </c>
      <c r="H58" s="20" t="n">
        <v>1.92933654115802</v>
      </c>
      <c r="I58" s="40" t="n">
        <f aca="false">F58/06_COMPONENT_CALC!H35</f>
        <v>0.00195802612013269</v>
      </c>
      <c r="K58" s="41" t="n">
        <v>0.00234259744392901</v>
      </c>
      <c r="L58" s="41" t="n">
        <v>0.00377824468281175</v>
      </c>
      <c r="M58" s="41" t="n">
        <v>0.00321298895206775</v>
      </c>
      <c r="N58" s="41" t="n">
        <v>0.00320398578725866</v>
      </c>
      <c r="O58" s="41" t="n">
        <v>0.00349796250213223</v>
      </c>
      <c r="P58" s="41" t="n">
        <v>0.00293446146204793</v>
      </c>
      <c r="Q58" s="41" t="n">
        <v>0.00215602625730268</v>
      </c>
      <c r="R58" s="17" t="n">
        <f aca="false">SUMPRODUCT(K58:Q58,$K$5:$Q$5)</f>
        <v>1604.63542046998</v>
      </c>
      <c r="S58" s="19" t="n">
        <f aca="false">F58/R58-1</f>
        <v>-0.422074453929623</v>
      </c>
      <c r="U58" s="21" t="n">
        <v>53380</v>
      </c>
    </row>
    <row r="59" customFormat="false" ht="15" hidden="false" customHeight="false" outlineLevel="0" collapsed="false">
      <c r="A59" s="5" t="s">
        <v>493</v>
      </c>
      <c r="B59" s="31" t="n">
        <f aca="false">SUM(B8:B58)</f>
        <v>249026.3</v>
      </c>
      <c r="E59" s="42" t="n">
        <f aca="false">SUM(E8:E58)</f>
        <v>332100166</v>
      </c>
      <c r="F59" s="31" t="n">
        <f aca="false">SUM(F8:F58)</f>
        <v>473619.729626556</v>
      </c>
      <c r="G59" s="43" t="n">
        <f aca="false">F59*1000000/E59</f>
        <v>1426.13517882601</v>
      </c>
      <c r="I59" s="44" t="n">
        <f aca="false">SUM(I8:I58)</f>
        <v>1</v>
      </c>
      <c r="R59" s="31" t="n">
        <f aca="false">SUM(R8:R58)</f>
        <v>473619.729626556</v>
      </c>
    </row>
    <row r="61" customFormat="false" ht="15" hidden="false" customHeight="false" outlineLevel="0" collapsed="false">
      <c r="A61" s="16" t="s">
        <v>494</v>
      </c>
    </row>
    <row r="62" customFormat="false" ht="15" hidden="false" customHeight="false" outlineLevel="0" collapsed="false">
      <c r="A62" s="10" t="s">
        <v>495</v>
      </c>
      <c r="C62" s="3" t="s">
        <v>224</v>
      </c>
      <c r="D62" s="27" t="s">
        <v>496</v>
      </c>
    </row>
    <row r="63" customFormat="false" ht="15" hidden="false" customHeight="false" outlineLevel="0" collapsed="false">
      <c r="A63" s="10" t="s">
        <v>497</v>
      </c>
      <c r="C63" s="3" t="s">
        <v>225</v>
      </c>
      <c r="D63" s="27" t="s">
        <v>498</v>
      </c>
    </row>
    <row r="64" customFormat="false" ht="15" hidden="false" customHeight="false" outlineLevel="0" collapsed="false">
      <c r="A64" s="10" t="s">
        <v>499</v>
      </c>
      <c r="C64" s="3" t="s">
        <v>225</v>
      </c>
      <c r="D64" s="27" t="s">
        <v>498</v>
      </c>
    </row>
    <row r="65" customFormat="false" ht="15" hidden="false" customHeight="false" outlineLevel="0" collapsed="false">
      <c r="A65" s="10" t="s">
        <v>500</v>
      </c>
      <c r="C65" s="3" t="s">
        <v>225</v>
      </c>
      <c r="D65" s="27" t="s">
        <v>498</v>
      </c>
    </row>
    <row r="66" customFormat="false" ht="15" hidden="false" customHeight="false" outlineLevel="0" collapsed="false">
      <c r="A66" s="10" t="s">
        <v>501</v>
      </c>
      <c r="C66" s="3" t="s">
        <v>225</v>
      </c>
      <c r="D66" s="27" t="s">
        <v>498</v>
      </c>
    </row>
    <row r="67" customFormat="false" ht="15" hidden="false" customHeight="false" outlineLevel="0" collapsed="false">
      <c r="A67" s="10" t="s">
        <v>502</v>
      </c>
      <c r="C67" s="3" t="s">
        <v>226</v>
      </c>
      <c r="D67" s="27" t="s">
        <v>503</v>
      </c>
    </row>
    <row r="68" customFormat="false" ht="15" hidden="false" customHeight="false" outlineLevel="0" collapsed="false">
      <c r="A68" s="10" t="s">
        <v>504</v>
      </c>
      <c r="C68" s="3" t="s">
        <v>226</v>
      </c>
      <c r="D68" s="27" t="s">
        <v>503</v>
      </c>
    </row>
    <row r="69" customFormat="false" ht="15" hidden="false" customHeight="false" outlineLevel="0" collapsed="false">
      <c r="A69" s="10" t="s">
        <v>505</v>
      </c>
      <c r="C69" s="3" t="s">
        <v>226</v>
      </c>
      <c r="D69" s="27" t="s">
        <v>503</v>
      </c>
    </row>
    <row r="70" customFormat="false" ht="15" hidden="false" customHeight="false" outlineLevel="0" collapsed="false">
      <c r="A70" s="10" t="s">
        <v>506</v>
      </c>
      <c r="C70" s="3" t="s">
        <v>224</v>
      </c>
      <c r="D70" s="27" t="s">
        <v>496</v>
      </c>
    </row>
    <row r="71" customFormat="false" ht="15" hidden="false" customHeight="false" outlineLevel="0" collapsed="false">
      <c r="A71" s="10" t="s">
        <v>507</v>
      </c>
      <c r="C71" s="3" t="s">
        <v>227</v>
      </c>
      <c r="D71" s="27" t="s">
        <v>508</v>
      </c>
    </row>
    <row r="72" customFormat="false" ht="15" hidden="false" customHeight="false" outlineLevel="0" collapsed="false">
      <c r="A72" s="10" t="s">
        <v>509</v>
      </c>
      <c r="C72" s="3" t="s">
        <v>227</v>
      </c>
      <c r="D72" s="27" t="s">
        <v>508</v>
      </c>
    </row>
    <row r="73" customFormat="false" ht="15" hidden="false" customHeight="false" outlineLevel="0" collapsed="false">
      <c r="A73" s="10" t="s">
        <v>510</v>
      </c>
      <c r="C73" s="3" t="s">
        <v>228</v>
      </c>
      <c r="D73" s="27" t="s">
        <v>511</v>
      </c>
    </row>
    <row r="74" customFormat="false" ht="15" hidden="false" customHeight="false" outlineLevel="0" collapsed="false">
      <c r="A74" s="10" t="s">
        <v>512</v>
      </c>
      <c r="C74" s="3" t="s">
        <v>227</v>
      </c>
      <c r="D74" s="27" t="s">
        <v>508</v>
      </c>
    </row>
    <row r="75" customFormat="false" ht="15" hidden="false" customHeight="false" outlineLevel="0" collapsed="false">
      <c r="A75" s="10" t="s">
        <v>513</v>
      </c>
      <c r="C75" s="3" t="s">
        <v>227</v>
      </c>
      <c r="D75" s="27" t="s">
        <v>508</v>
      </c>
    </row>
    <row r="76" customFormat="false" ht="15" hidden="false" customHeight="false" outlineLevel="0" collapsed="false">
      <c r="A76" s="10" t="s">
        <v>514</v>
      </c>
      <c r="C76" s="3" t="s">
        <v>227</v>
      </c>
      <c r="D76" s="27" t="s">
        <v>508</v>
      </c>
    </row>
    <row r="77" customFormat="false" ht="15" hidden="false" customHeight="false" outlineLevel="0" collapsed="false">
      <c r="A77" s="10" t="s">
        <v>515</v>
      </c>
      <c r="C77" s="3" t="s">
        <v>228</v>
      </c>
      <c r="D77" s="27" t="s">
        <v>511</v>
      </c>
    </row>
    <row r="78" customFormat="false" ht="15" hidden="false" customHeight="false" outlineLevel="0" collapsed="false">
      <c r="A78" s="10" t="s">
        <v>516</v>
      </c>
      <c r="C78" s="3" t="s">
        <v>229</v>
      </c>
      <c r="D78" s="27" t="s">
        <v>517</v>
      </c>
    </row>
    <row r="79" customFormat="false" ht="15" hidden="false" customHeight="false" outlineLevel="0" collapsed="false">
      <c r="A79" s="10" t="s">
        <v>518</v>
      </c>
      <c r="C79" s="3" t="s">
        <v>229</v>
      </c>
      <c r="D79" s="27" t="s">
        <v>517</v>
      </c>
    </row>
    <row r="80" customFormat="false" ht="15" hidden="false" customHeight="false" outlineLevel="0" collapsed="false">
      <c r="A80" s="10" t="s">
        <v>519</v>
      </c>
      <c r="C80" s="3" t="s">
        <v>226</v>
      </c>
      <c r="D80" s="27" t="s">
        <v>503</v>
      </c>
    </row>
    <row r="81" customFormat="false" ht="15" hidden="false" customHeight="false" outlineLevel="0" collapsed="false">
      <c r="A81" s="10" t="s">
        <v>520</v>
      </c>
      <c r="C81" s="3" t="s">
        <v>230</v>
      </c>
      <c r="D81" s="27" t="s">
        <v>521</v>
      </c>
    </row>
    <row r="82" customFormat="false" ht="15" hidden="false" customHeight="false" outlineLevel="0" collapsed="false">
      <c r="A82" s="10" t="s">
        <v>522</v>
      </c>
      <c r="C82" s="3" t="s">
        <v>230</v>
      </c>
      <c r="D82" s="27" t="s">
        <v>521</v>
      </c>
    </row>
    <row r="83" customFormat="false" ht="15" hidden="false" customHeight="false" outlineLevel="0" collapsed="false">
      <c r="A83" s="10" t="s">
        <v>523</v>
      </c>
      <c r="C83" s="3" t="s">
        <v>226</v>
      </c>
      <c r="D83" s="27" t="s">
        <v>503</v>
      </c>
    </row>
    <row r="84" customFormat="false" ht="15" hidden="false" customHeight="false" outlineLevel="0" collapsed="false">
      <c r="A84" s="10" t="s">
        <v>524</v>
      </c>
      <c r="C84" s="3" t="s">
        <v>226</v>
      </c>
      <c r="D84" s="27" t="s">
        <v>503</v>
      </c>
    </row>
    <row r="85" customFormat="false" ht="15" hidden="false" customHeight="false" outlineLevel="0" collapsed="false">
      <c r="A85" s="10" t="s">
        <v>525</v>
      </c>
      <c r="C85" s="3" t="s">
        <v>230</v>
      </c>
      <c r="D85" s="27" t="s">
        <v>521</v>
      </c>
    </row>
    <row r="86" customFormat="false" ht="15" hidden="false" customHeight="false" outlineLevel="0" collapsed="false">
      <c r="A86" s="10" t="s">
        <v>526</v>
      </c>
      <c r="C86" s="3" t="s">
        <v>226</v>
      </c>
      <c r="D86" s="27" t="s">
        <v>503</v>
      </c>
    </row>
    <row r="87" customFormat="false" ht="15" hidden="false" customHeight="false" outlineLevel="0" collapsed="false">
      <c r="A87" s="10" t="s">
        <v>527</v>
      </c>
      <c r="C87" s="3" t="s">
        <v>226</v>
      </c>
      <c r="D87" s="27" t="s">
        <v>503</v>
      </c>
    </row>
    <row r="89" customFormat="false" ht="15" hidden="false" customHeight="false" outlineLevel="0" collapsed="false">
      <c r="A89" s="7" t="s">
        <v>528</v>
      </c>
    </row>
    <row r="90" customFormat="false" ht="15" hidden="false" customHeight="true" outlineLevel="0" collapsed="false">
      <c r="A90" s="11" t="s">
        <v>529</v>
      </c>
      <c r="B90" s="11"/>
      <c r="C90" s="11"/>
      <c r="D90" s="11"/>
      <c r="E90" s="11"/>
      <c r="F90" s="11"/>
      <c r="G90" s="11"/>
      <c r="H90" s="11"/>
      <c r="I90" s="11"/>
    </row>
    <row r="91" customFormat="false" ht="15" hidden="false" customHeight="false" outlineLevel="0" collapsed="false">
      <c r="A91" s="11"/>
      <c r="B91" s="11"/>
      <c r="C91" s="11"/>
      <c r="D91" s="11"/>
      <c r="E91" s="11"/>
      <c r="F91" s="11"/>
      <c r="G91" s="11"/>
      <c r="H91" s="11"/>
      <c r="I91" s="11"/>
    </row>
    <row r="92" customFormat="false" ht="15" hidden="false" customHeight="false" outlineLevel="0" collapsed="false">
      <c r="A92" s="11"/>
      <c r="B92" s="11"/>
      <c r="C92" s="11"/>
      <c r="D92" s="11"/>
      <c r="E92" s="11"/>
      <c r="F92" s="11"/>
      <c r="G92" s="11"/>
      <c r="H92" s="11"/>
      <c r="I92" s="11"/>
    </row>
  </sheetData>
  <mergeCells count="3">
    <mergeCell ref="A1:N1"/>
    <mergeCell ref="A2:N2"/>
    <mergeCell ref="A90:I9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6"/>
    <col collapsed="false" customWidth="true" hidden="false" outlineLevel="0" max="3" min="2" style="0" width="16"/>
    <col collapsed="false" customWidth="true" hidden="false" outlineLevel="0" max="4" min="4" style="0" width="60"/>
    <col collapsed="false" customWidth="true" hidden="false" outlineLevel="0" max="6" min="5" style="0" width="13"/>
  </cols>
  <sheetData>
    <row r="1" customFormat="false" ht="25.5" hidden="false" customHeight="true" outlineLevel="0" collapsed="false">
      <c r="A1" s="1" t="s">
        <v>530</v>
      </c>
      <c r="B1" s="1"/>
      <c r="C1" s="1"/>
      <c r="D1" s="1"/>
      <c r="E1" s="1"/>
      <c r="F1" s="1"/>
      <c r="G1" s="1"/>
      <c r="H1" s="1"/>
      <c r="I1" s="1"/>
      <c r="J1" s="1"/>
      <c r="K1" s="1"/>
      <c r="L1" s="1"/>
      <c r="M1" s="1"/>
      <c r="N1" s="1"/>
    </row>
    <row r="2" customFormat="false" ht="15" hidden="false" customHeight="false" outlineLevel="0" collapsed="false">
      <c r="A2" s="2" t="s">
        <v>531</v>
      </c>
      <c r="B2" s="2"/>
      <c r="C2" s="2"/>
      <c r="D2" s="2"/>
      <c r="E2" s="2"/>
      <c r="F2" s="2"/>
      <c r="G2" s="2"/>
      <c r="H2" s="2"/>
      <c r="I2" s="2"/>
      <c r="J2" s="2"/>
      <c r="K2" s="2"/>
      <c r="L2" s="2"/>
      <c r="M2" s="2"/>
      <c r="N2" s="2"/>
    </row>
    <row r="4" customFormat="false" ht="30" hidden="false" customHeight="true" outlineLevel="0" collapsed="false">
      <c r="A4" s="8" t="s">
        <v>532</v>
      </c>
      <c r="B4" s="8" t="s">
        <v>533</v>
      </c>
      <c r="C4" s="8" t="s">
        <v>240</v>
      </c>
      <c r="D4" s="8" t="s">
        <v>534</v>
      </c>
      <c r="E4" s="8" t="s">
        <v>535</v>
      </c>
      <c r="F4" s="8" t="s">
        <v>536</v>
      </c>
    </row>
    <row r="5" customFormat="false" ht="25.5" hidden="false" customHeight="true" outlineLevel="0" collapsed="false">
      <c r="A5" s="3" t="s">
        <v>537</v>
      </c>
      <c r="B5" s="17" t="n">
        <v>473619.729626556</v>
      </c>
      <c r="C5" s="17" t="n">
        <v>198303.409040721</v>
      </c>
      <c r="D5" s="20" t="n">
        <v>1427.02216224821</v>
      </c>
      <c r="E5" s="20" t="n">
        <v>3.16591128577041</v>
      </c>
      <c r="F5" s="19" t="n">
        <f aca="false">B5/473619.729626556-1</f>
        <v>0</v>
      </c>
    </row>
    <row r="6" customFormat="false" ht="25.5" hidden="false" customHeight="true" outlineLevel="0" collapsed="false">
      <c r="A6" s="3" t="s">
        <v>538</v>
      </c>
      <c r="B6" s="17" t="n">
        <v>420202.943015991</v>
      </c>
      <c r="C6" s="17" t="n">
        <v>179102.123890544</v>
      </c>
      <c r="D6" s="20" t="n">
        <v>1266.07671686006</v>
      </c>
      <c r="E6" s="20" t="n">
        <v>2.8088467527677</v>
      </c>
      <c r="F6" s="19" t="n">
        <f aca="false">B6/473619.729626556-1</f>
        <v>-0.112784124623954</v>
      </c>
    </row>
    <row r="7" customFormat="false" ht="25.5" hidden="false" customHeight="true" outlineLevel="0" collapsed="false">
      <c r="A7" s="3" t="s">
        <v>539</v>
      </c>
      <c r="B7" s="17" t="n">
        <v>376710.732074618</v>
      </c>
      <c r="C7" s="17" t="n">
        <v>162497.9507718</v>
      </c>
      <c r="D7" s="20" t="n">
        <v>1135.03414194991</v>
      </c>
      <c r="E7" s="20" t="n">
        <v>2.51812305008122</v>
      </c>
      <c r="F7" s="19" t="n">
        <f aca="false">B7/473619.729626556-1</f>
        <v>-0.204613514788225</v>
      </c>
    </row>
    <row r="8" customFormat="false" ht="25.5" hidden="false" customHeight="true" outlineLevel="0" collapsed="false">
      <c r="A8" s="3" t="s">
        <v>540</v>
      </c>
      <c r="B8" s="17" t="n">
        <v>539366.482998336</v>
      </c>
      <c r="C8" s="17" t="n">
        <v>223336.740061334</v>
      </c>
      <c r="D8" s="20" t="n">
        <v>1625.11795152492</v>
      </c>
      <c r="E8" s="20" t="n">
        <v>3.60539548687538</v>
      </c>
      <c r="F8" s="19" t="n">
        <f aca="false">B8/473619.729626556-1</f>
        <v>0.138817598294775</v>
      </c>
    </row>
    <row r="9" customFormat="false" ht="25.5" hidden="false" customHeight="true" outlineLevel="0" collapsed="false">
      <c r="A9" s="45" t="s">
        <v>541</v>
      </c>
      <c r="B9" s="36" t="n">
        <v>2542939.34069419</v>
      </c>
      <c r="C9" s="36" t="n">
        <v>198303.409040721</v>
      </c>
      <c r="D9" s="46" t="n">
        <v>7661.90800219568</v>
      </c>
      <c r="E9" s="46" t="n">
        <v>16.9982791132481</v>
      </c>
      <c r="F9" s="47" t="n">
        <f aca="false">B9/473619.729626556-1</f>
        <v>4.36915838092148</v>
      </c>
    </row>
    <row r="10" customFormat="false" ht="25.5" hidden="false" customHeight="true" outlineLevel="0" collapsed="false">
      <c r="A10" s="10" t="s">
        <v>542</v>
      </c>
      <c r="B10" s="17" t="n">
        <v>473619.729626556</v>
      </c>
      <c r="C10" s="17" t="n">
        <v>195275.348221723</v>
      </c>
      <c r="D10" s="20" t="n">
        <v>1427.02216224821</v>
      </c>
      <c r="E10" s="20" t="n">
        <v>3.16591128577041</v>
      </c>
      <c r="F10" s="19" t="n">
        <f aca="false">B10/473619.729626556-1</f>
        <v>0</v>
      </c>
    </row>
    <row r="11" customFormat="false" ht="25.5" hidden="false" customHeight="true" outlineLevel="0" collapsed="false">
      <c r="A11" s="10" t="s">
        <v>543</v>
      </c>
      <c r="B11" s="17" t="n">
        <v>473619.729626556</v>
      </c>
      <c r="C11" s="17" t="n">
        <v>183695.903903171</v>
      </c>
      <c r="D11" s="20" t="n">
        <v>1427.02216224821</v>
      </c>
      <c r="E11" s="20" t="n">
        <v>3.16591128577041</v>
      </c>
      <c r="F11" s="19" t="n">
        <f aca="false">B11/473619.729626556-1</f>
        <v>0</v>
      </c>
    </row>
    <row r="12" customFormat="false" ht="25.5" hidden="false" customHeight="true" outlineLevel="0" collapsed="false">
      <c r="A12" s="10" t="s">
        <v>544</v>
      </c>
      <c r="B12" s="17" t="n">
        <v>479631.677521337</v>
      </c>
      <c r="C12" s="17" t="n">
        <v>198303.409040721</v>
      </c>
      <c r="D12" s="20" t="n">
        <v>1445.13623636184</v>
      </c>
      <c r="E12" s="20" t="n">
        <v>3.20609815405092</v>
      </c>
      <c r="F12" s="19" t="n">
        <f aca="false">B12/473619.729626556-1</f>
        <v>0.012693617935895</v>
      </c>
    </row>
    <row r="13" customFormat="false" ht="25.5" hidden="false" customHeight="true" outlineLevel="0" collapsed="false">
      <c r="A13" s="10" t="s">
        <v>545</v>
      </c>
      <c r="B13" s="17" t="n">
        <v>473619.729626556</v>
      </c>
      <c r="C13" s="17" t="n">
        <v>191342.370769129</v>
      </c>
      <c r="D13" s="20" t="n">
        <v>1427.02216224821</v>
      </c>
      <c r="E13" s="20" t="n">
        <v>3.16591128577041</v>
      </c>
      <c r="F13" s="19" t="n">
        <f aca="false">B13/473619.729626556-1</f>
        <v>0</v>
      </c>
    </row>
    <row r="15" customFormat="false" ht="15" hidden="false" customHeight="false" outlineLevel="0" collapsed="false">
      <c r="A15" s="23" t="s">
        <v>546</v>
      </c>
    </row>
    <row r="16" customFormat="false" ht="15" hidden="false" customHeight="true" outlineLevel="0" collapsed="false">
      <c r="A16" s="11" t="s">
        <v>547</v>
      </c>
      <c r="B16" s="11"/>
      <c r="C16" s="11"/>
      <c r="D16" s="11"/>
      <c r="E16" s="11"/>
      <c r="F16" s="11"/>
    </row>
    <row r="17" customFormat="false" ht="15" hidden="false" customHeight="false" outlineLevel="0" collapsed="false">
      <c r="A17" s="11"/>
      <c r="B17" s="11"/>
      <c r="C17" s="11"/>
      <c r="D17" s="11"/>
      <c r="E17" s="11"/>
      <c r="F17" s="11"/>
    </row>
    <row r="18" customFormat="false" ht="15" hidden="false" customHeight="false" outlineLevel="0" collapsed="false">
      <c r="A18" s="11"/>
      <c r="B18" s="11"/>
      <c r="C18" s="11"/>
      <c r="D18" s="11"/>
      <c r="E18" s="11"/>
      <c r="F18" s="11"/>
    </row>
    <row r="20" customFormat="false" ht="15" hidden="false" customHeight="false" outlineLevel="0" collapsed="false">
      <c r="A20" s="16" t="s">
        <v>548</v>
      </c>
    </row>
    <row r="21" customFormat="false" ht="30" hidden="false" customHeight="true" outlineLevel="0" collapsed="false">
      <c r="A21" s="8" t="s">
        <v>549</v>
      </c>
      <c r="B21" s="8" t="s">
        <v>533</v>
      </c>
      <c r="C21" s="8" t="s">
        <v>550</v>
      </c>
      <c r="D21" s="8" t="s">
        <v>551</v>
      </c>
    </row>
    <row r="22" customFormat="false" ht="36" hidden="false" customHeight="true" outlineLevel="0" collapsed="false">
      <c r="A22" s="3" t="s">
        <v>552</v>
      </c>
      <c r="B22" s="15" t="n">
        <v>249026.5</v>
      </c>
      <c r="C22" s="19" t="n">
        <f aca="false">B22/249026.5-1</f>
        <v>0</v>
      </c>
      <c r="D22" s="11" t="s">
        <v>553</v>
      </c>
    </row>
    <row r="23" customFormat="false" ht="36" hidden="false" customHeight="true" outlineLevel="0" collapsed="false">
      <c r="A23" s="3" t="s">
        <v>554</v>
      </c>
      <c r="B23" s="15" t="n">
        <v>309455.876953627</v>
      </c>
      <c r="C23" s="19" t="n">
        <f aca="false">B23/249026.5-1</f>
        <v>0.242662435337711</v>
      </c>
      <c r="D23" s="11" t="s">
        <v>555</v>
      </c>
    </row>
    <row r="24" customFormat="false" ht="36" hidden="false" customHeight="true" outlineLevel="0" collapsed="false">
      <c r="A24" s="3" t="s">
        <v>556</v>
      </c>
      <c r="B24" s="15" t="n">
        <v>342286.070665867</v>
      </c>
      <c r="C24" s="19" t="n">
        <f aca="false">B24/249026.5-1</f>
        <v>0.374496572316068</v>
      </c>
      <c r="D24" s="11" t="s">
        <v>557</v>
      </c>
    </row>
    <row r="25" customFormat="false" ht="36" hidden="false" customHeight="true" outlineLevel="0" collapsed="false">
      <c r="A25" s="3" t="s">
        <v>558</v>
      </c>
      <c r="B25" s="15" t="n">
        <v>346098.292485495</v>
      </c>
      <c r="C25" s="19" t="n">
        <f aca="false">B25/249026.5-1</f>
        <v>0.389805070888018</v>
      </c>
      <c r="D25" s="11" t="s">
        <v>559</v>
      </c>
    </row>
    <row r="26" customFormat="false" ht="36" hidden="false" customHeight="true" outlineLevel="0" collapsed="false">
      <c r="A26" s="3" t="s">
        <v>560</v>
      </c>
      <c r="B26" s="15" t="n">
        <v>473619.729626556</v>
      </c>
      <c r="C26" s="19" t="n">
        <f aca="false">B26/249026.5-1</f>
        <v>0.901884858143836</v>
      </c>
      <c r="D26" s="11" t="s">
        <v>561</v>
      </c>
    </row>
    <row r="27" customFormat="false" ht="36" hidden="false" customHeight="true" outlineLevel="0" collapsed="false">
      <c r="A27" s="3" t="s">
        <v>562</v>
      </c>
      <c r="B27" s="15" t="n">
        <v>420202.943015991</v>
      </c>
      <c r="C27" s="19" t="n">
        <f aca="false">B27/249026.5-1</f>
        <v>0.687382439282531</v>
      </c>
      <c r="D27" s="11" t="s">
        <v>563</v>
      </c>
    </row>
    <row r="28" customFormat="false" ht="36" hidden="false" customHeight="true" outlineLevel="0" collapsed="false">
      <c r="A28" s="3" t="s">
        <v>564</v>
      </c>
      <c r="B28" s="15" t="n">
        <v>53416.7866105649</v>
      </c>
      <c r="C28" s="19" t="n">
        <f aca="false">B28/249026.5-1</f>
        <v>-0.785497581138694</v>
      </c>
      <c r="D28" s="11" t="s">
        <v>565</v>
      </c>
    </row>
    <row r="30" customFormat="false" ht="15" hidden="false" customHeight="false" outlineLevel="0" collapsed="false">
      <c r="A30" s="3" t="s">
        <v>566</v>
      </c>
      <c r="B30" s="32" t="n">
        <v>0.0749750333233966</v>
      </c>
      <c r="D30" s="27" t="s">
        <v>567</v>
      </c>
    </row>
  </sheetData>
  <mergeCells count="3">
    <mergeCell ref="A1:N1"/>
    <mergeCell ref="A2:N2"/>
    <mergeCell ref="A16:F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5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66"/>
    <col collapsed="false" customWidth="true" hidden="false" outlineLevel="0" max="3" min="3" style="0" width="12"/>
    <col collapsed="false" customWidth="true" hidden="false" outlineLevel="0" max="4" min="4" style="0" width="84"/>
  </cols>
  <sheetData>
    <row r="1" customFormat="false" ht="25.5" hidden="false" customHeight="true" outlineLevel="0" collapsed="false">
      <c r="A1" s="1" t="s">
        <v>568</v>
      </c>
      <c r="B1" s="1"/>
      <c r="C1" s="1"/>
      <c r="D1" s="1"/>
      <c r="E1" s="1"/>
      <c r="F1" s="1"/>
      <c r="G1" s="1"/>
      <c r="H1" s="1"/>
      <c r="I1" s="1"/>
      <c r="J1" s="1"/>
      <c r="K1" s="1"/>
      <c r="L1" s="1"/>
      <c r="M1" s="1"/>
      <c r="N1" s="1"/>
    </row>
    <row r="2" customFormat="false" ht="15" hidden="false" customHeight="false" outlineLevel="0" collapsed="false">
      <c r="A2" s="2" t="s">
        <v>569</v>
      </c>
      <c r="B2" s="2"/>
      <c r="C2" s="2"/>
      <c r="D2" s="2"/>
      <c r="E2" s="2"/>
      <c r="F2" s="2"/>
      <c r="G2" s="2"/>
      <c r="H2" s="2"/>
      <c r="I2" s="2"/>
      <c r="J2" s="2"/>
      <c r="K2" s="2"/>
      <c r="L2" s="2"/>
      <c r="M2" s="2"/>
      <c r="N2" s="2"/>
    </row>
    <row r="4" customFormat="false" ht="30" hidden="false" customHeight="true" outlineLevel="0" collapsed="false">
      <c r="A4" s="8" t="s">
        <v>91</v>
      </c>
      <c r="B4" s="8" t="s">
        <v>570</v>
      </c>
      <c r="C4" s="8" t="s">
        <v>571</v>
      </c>
      <c r="D4" s="8" t="s">
        <v>572</v>
      </c>
    </row>
    <row r="5" customFormat="false" ht="27.75" hidden="false" customHeight="true" outlineLevel="0" collapsed="false">
      <c r="A5" s="10" t="n">
        <v>1</v>
      </c>
      <c r="B5" s="10" t="s">
        <v>573</v>
      </c>
      <c r="C5" s="24" t="s">
        <v>574</v>
      </c>
      <c r="D5" s="11" t="s">
        <v>575</v>
      </c>
    </row>
    <row r="6" customFormat="false" ht="27.75" hidden="false" customHeight="true" outlineLevel="0" collapsed="false">
      <c r="A6" s="10" t="n">
        <v>2</v>
      </c>
      <c r="B6" s="10" t="s">
        <v>576</v>
      </c>
      <c r="C6" s="24" t="s">
        <v>574</v>
      </c>
      <c r="D6" s="11" t="s">
        <v>577</v>
      </c>
    </row>
    <row r="7" customFormat="false" ht="27.75" hidden="false" customHeight="true" outlineLevel="0" collapsed="false">
      <c r="A7" s="10" t="n">
        <v>3</v>
      </c>
      <c r="B7" s="10" t="s">
        <v>578</v>
      </c>
      <c r="C7" s="24" t="s">
        <v>574</v>
      </c>
      <c r="D7" s="11" t="s">
        <v>579</v>
      </c>
    </row>
    <row r="8" customFormat="false" ht="27.75" hidden="false" customHeight="true" outlineLevel="0" collapsed="false">
      <c r="A8" s="10" t="n">
        <v>4</v>
      </c>
      <c r="B8" s="10" t="s">
        <v>580</v>
      </c>
      <c r="C8" s="24" t="s">
        <v>574</v>
      </c>
      <c r="D8" s="11" t="s">
        <v>581</v>
      </c>
    </row>
    <row r="9" customFormat="false" ht="27.75" hidden="false" customHeight="true" outlineLevel="0" collapsed="false">
      <c r="A9" s="10" t="n">
        <v>5</v>
      </c>
      <c r="B9" s="10" t="s">
        <v>582</v>
      </c>
      <c r="C9" s="24" t="s">
        <v>574</v>
      </c>
      <c r="D9" s="11" t="s">
        <v>583</v>
      </c>
    </row>
    <row r="10" customFormat="false" ht="27.75" hidden="false" customHeight="true" outlineLevel="0" collapsed="false">
      <c r="A10" s="10" t="n">
        <v>6</v>
      </c>
      <c r="B10" s="10" t="s">
        <v>584</v>
      </c>
      <c r="C10" s="24" t="s">
        <v>574</v>
      </c>
      <c r="D10" s="11" t="s">
        <v>585</v>
      </c>
    </row>
    <row r="11" customFormat="false" ht="27.75" hidden="false" customHeight="true" outlineLevel="0" collapsed="false">
      <c r="A11" s="10" t="n">
        <v>7</v>
      </c>
      <c r="B11" s="10" t="s">
        <v>586</v>
      </c>
      <c r="C11" s="24" t="s">
        <v>574</v>
      </c>
      <c r="D11" s="11" t="s">
        <v>587</v>
      </c>
    </row>
    <row r="12" customFormat="false" ht="27.75" hidden="false" customHeight="true" outlineLevel="0" collapsed="false">
      <c r="A12" s="10" t="n">
        <v>8</v>
      </c>
      <c r="B12" s="10" t="s">
        <v>588</v>
      </c>
      <c r="C12" s="24" t="s">
        <v>574</v>
      </c>
      <c r="D12" s="11" t="s">
        <v>589</v>
      </c>
    </row>
    <row r="13" customFormat="false" ht="27.75" hidden="false" customHeight="true" outlineLevel="0" collapsed="false">
      <c r="A13" s="10" t="n">
        <v>9</v>
      </c>
      <c r="B13" s="10" t="s">
        <v>590</v>
      </c>
      <c r="C13" s="24" t="s">
        <v>574</v>
      </c>
      <c r="D13" s="11" t="s">
        <v>591</v>
      </c>
    </row>
    <row r="14" customFormat="false" ht="27.75" hidden="false" customHeight="true" outlineLevel="0" collapsed="false">
      <c r="A14" s="10" t="n">
        <v>10</v>
      </c>
      <c r="B14" s="10" t="s">
        <v>592</v>
      </c>
      <c r="C14" s="24" t="s">
        <v>574</v>
      </c>
      <c r="D14" s="11" t="s">
        <v>593</v>
      </c>
    </row>
    <row r="15" customFormat="false" ht="27.75" hidden="false" customHeight="true" outlineLevel="0" collapsed="false">
      <c r="A15" s="10" t="n">
        <v>11</v>
      </c>
      <c r="B15" s="10" t="s">
        <v>594</v>
      </c>
      <c r="C15" s="24" t="s">
        <v>574</v>
      </c>
      <c r="D15" s="11" t="s">
        <v>595</v>
      </c>
    </row>
    <row r="16" customFormat="false" ht="27.75" hidden="false" customHeight="true" outlineLevel="0" collapsed="false">
      <c r="A16" s="10" t="n">
        <v>12</v>
      </c>
      <c r="B16" s="10" t="s">
        <v>596</v>
      </c>
      <c r="C16" s="24" t="s">
        <v>574</v>
      </c>
      <c r="D16" s="11" t="s">
        <v>597</v>
      </c>
    </row>
    <row r="17" customFormat="false" ht="27.75" hidden="false" customHeight="true" outlineLevel="0" collapsed="false">
      <c r="A17" s="10" t="n">
        <v>13</v>
      </c>
      <c r="B17" s="10" t="s">
        <v>598</v>
      </c>
      <c r="C17" s="24" t="s">
        <v>574</v>
      </c>
      <c r="D17" s="11" t="s">
        <v>599</v>
      </c>
    </row>
    <row r="18" customFormat="false" ht="27.75" hidden="false" customHeight="true" outlineLevel="0" collapsed="false">
      <c r="A18" s="10" t="n">
        <v>14</v>
      </c>
      <c r="B18" s="10" t="s">
        <v>600</v>
      </c>
      <c r="C18" s="24" t="s">
        <v>574</v>
      </c>
      <c r="D18" s="11"/>
    </row>
    <row r="19" customFormat="false" ht="27.75" hidden="false" customHeight="true" outlineLevel="0" collapsed="false">
      <c r="A19" s="10" t="n">
        <v>15</v>
      </c>
      <c r="B19" s="10" t="s">
        <v>601</v>
      </c>
      <c r="C19" s="24" t="s">
        <v>574</v>
      </c>
      <c r="D19" s="11" t="s">
        <v>602</v>
      </c>
    </row>
    <row r="20" customFormat="false" ht="27.75" hidden="false" customHeight="true" outlineLevel="0" collapsed="false">
      <c r="A20" s="10" t="n">
        <v>16</v>
      </c>
      <c r="B20" s="10" t="s">
        <v>603</v>
      </c>
      <c r="C20" s="24" t="s">
        <v>574</v>
      </c>
      <c r="D20" s="11"/>
    </row>
    <row r="21" customFormat="false" ht="27.75" hidden="false" customHeight="true" outlineLevel="0" collapsed="false">
      <c r="A21" s="10" t="n">
        <v>17</v>
      </c>
      <c r="B21" s="10" t="s">
        <v>604</v>
      </c>
      <c r="C21" s="24" t="s">
        <v>574</v>
      </c>
      <c r="D21" s="11" t="s">
        <v>605</v>
      </c>
    </row>
    <row r="22" customFormat="false" ht="27.75" hidden="false" customHeight="true" outlineLevel="0" collapsed="false">
      <c r="A22" s="10" t="n">
        <v>18</v>
      </c>
      <c r="B22" s="10" t="s">
        <v>606</v>
      </c>
      <c r="C22" s="24" t="s">
        <v>574</v>
      </c>
      <c r="D22" s="11" t="s">
        <v>607</v>
      </c>
    </row>
    <row r="23" customFormat="false" ht="27.75" hidden="false" customHeight="true" outlineLevel="0" collapsed="false">
      <c r="A23" s="10" t="n">
        <v>19</v>
      </c>
      <c r="B23" s="10" t="s">
        <v>608</v>
      </c>
      <c r="C23" s="24" t="s">
        <v>574</v>
      </c>
      <c r="D23" s="11" t="s">
        <v>609</v>
      </c>
    </row>
    <row r="24" customFormat="false" ht="27.75" hidden="false" customHeight="true" outlineLevel="0" collapsed="false">
      <c r="A24" s="10" t="n">
        <v>20</v>
      </c>
      <c r="B24" s="10" t="s">
        <v>610</v>
      </c>
      <c r="C24" s="24" t="s">
        <v>574</v>
      </c>
      <c r="D24" s="11" t="s">
        <v>611</v>
      </c>
    </row>
    <row r="25" customFormat="false" ht="27.75" hidden="false" customHeight="true" outlineLevel="0" collapsed="false">
      <c r="A25" s="10" t="n">
        <v>21</v>
      </c>
      <c r="B25" s="10" t="s">
        <v>612</v>
      </c>
      <c r="C25" s="24" t="s">
        <v>574</v>
      </c>
      <c r="D25" s="11" t="s">
        <v>613</v>
      </c>
    </row>
    <row r="26" customFormat="false" ht="27.75" hidden="false" customHeight="true" outlineLevel="0" collapsed="false">
      <c r="A26" s="10" t="n">
        <v>22</v>
      </c>
      <c r="B26" s="10" t="s">
        <v>614</v>
      </c>
      <c r="C26" s="24" t="s">
        <v>574</v>
      </c>
      <c r="D26" s="11" t="s">
        <v>615</v>
      </c>
    </row>
    <row r="27" customFormat="false" ht="27.75" hidden="false" customHeight="true" outlineLevel="0" collapsed="false">
      <c r="A27" s="10" t="n">
        <v>23</v>
      </c>
      <c r="B27" s="10" t="s">
        <v>616</v>
      </c>
      <c r="C27" s="24" t="s">
        <v>574</v>
      </c>
      <c r="D27" s="11" t="s">
        <v>617</v>
      </c>
    </row>
    <row r="28" customFormat="false" ht="27.75" hidden="false" customHeight="true" outlineLevel="0" collapsed="false">
      <c r="A28" s="10" t="n">
        <v>24</v>
      </c>
      <c r="B28" s="10" t="s">
        <v>618</v>
      </c>
      <c r="C28" s="24" t="s">
        <v>574</v>
      </c>
      <c r="D28" s="11"/>
    </row>
    <row r="29" customFormat="false" ht="27.75" hidden="false" customHeight="true" outlineLevel="0" collapsed="false">
      <c r="A29" s="10" t="n">
        <v>25</v>
      </c>
      <c r="B29" s="10" t="s">
        <v>619</v>
      </c>
      <c r="C29" s="24" t="s">
        <v>574</v>
      </c>
      <c r="D29" s="11" t="s">
        <v>620</v>
      </c>
    </row>
    <row r="30" customFormat="false" ht="27.75" hidden="false" customHeight="true" outlineLevel="0" collapsed="false">
      <c r="A30" s="10" t="n">
        <v>26</v>
      </c>
      <c r="B30" s="10" t="s">
        <v>621</v>
      </c>
      <c r="C30" s="24" t="s">
        <v>574</v>
      </c>
      <c r="D30" s="11" t="s">
        <v>622</v>
      </c>
    </row>
    <row r="31" customFormat="false" ht="27.75" hidden="false" customHeight="true" outlineLevel="0" collapsed="false">
      <c r="A31" s="10" t="n">
        <v>27</v>
      </c>
      <c r="B31" s="10" t="s">
        <v>623</v>
      </c>
      <c r="C31" s="24" t="s">
        <v>574</v>
      </c>
      <c r="D31" s="11" t="s">
        <v>624</v>
      </c>
    </row>
    <row r="32" customFormat="false" ht="27.75" hidden="false" customHeight="true" outlineLevel="0" collapsed="false">
      <c r="A32" s="10" t="n">
        <v>28</v>
      </c>
      <c r="B32" s="10" t="s">
        <v>625</v>
      </c>
      <c r="C32" s="24" t="s">
        <v>574</v>
      </c>
      <c r="D32" s="11" t="s">
        <v>624</v>
      </c>
    </row>
    <row r="33" customFormat="false" ht="27.75" hidden="false" customHeight="true" outlineLevel="0" collapsed="false">
      <c r="A33" s="10" t="n">
        <v>29</v>
      </c>
      <c r="B33" s="10" t="s">
        <v>626</v>
      </c>
      <c r="C33" s="24" t="s">
        <v>574</v>
      </c>
      <c r="D33" s="11" t="s">
        <v>627</v>
      </c>
    </row>
    <row r="34" customFormat="false" ht="27.75" hidden="false" customHeight="true" outlineLevel="0" collapsed="false">
      <c r="A34" s="10" t="n">
        <v>30</v>
      </c>
      <c r="B34" s="10" t="s">
        <v>628</v>
      </c>
      <c r="C34" s="24" t="s">
        <v>574</v>
      </c>
      <c r="D34" s="11" t="s">
        <v>629</v>
      </c>
    </row>
    <row r="35" customFormat="false" ht="27.75" hidden="false" customHeight="true" outlineLevel="0" collapsed="false">
      <c r="A35" s="10" t="n">
        <v>31</v>
      </c>
      <c r="B35" s="10" t="s">
        <v>630</v>
      </c>
      <c r="C35" s="24" t="s">
        <v>574</v>
      </c>
      <c r="D35" s="11" t="s">
        <v>631</v>
      </c>
    </row>
    <row r="36" customFormat="false" ht="27.75" hidden="false" customHeight="true" outlineLevel="0" collapsed="false">
      <c r="A36" s="10" t="n">
        <v>32</v>
      </c>
      <c r="B36" s="10" t="s">
        <v>632</v>
      </c>
      <c r="C36" s="24" t="s">
        <v>574</v>
      </c>
      <c r="D36" s="11" t="s">
        <v>633</v>
      </c>
    </row>
    <row r="38" customFormat="false" ht="15" hidden="false" customHeight="false" outlineLevel="0" collapsed="false">
      <c r="B38" s="24" t="s">
        <v>634</v>
      </c>
    </row>
    <row r="40" customFormat="false" ht="15" hidden="false" customHeight="false" outlineLevel="0" collapsed="false">
      <c r="B40" s="16" t="s">
        <v>635</v>
      </c>
    </row>
    <row r="41" customFormat="false" ht="15" hidden="false" customHeight="false" outlineLevel="0" collapsed="false">
      <c r="B41" s="10" t="s">
        <v>636</v>
      </c>
      <c r="C41" s="3" t="str">
        <f aca="false">IF(COUNT(06_COMPONENT_CALC!D5:D30)=26,"PASS","FAIL")</f>
        <v>PASS</v>
      </c>
    </row>
    <row r="42" customFormat="false" ht="15" hidden="false" customHeight="false" outlineLevel="0" collapsed="false">
      <c r="B42" s="10" t="s">
        <v>637</v>
      </c>
      <c r="C42" s="3" t="str">
        <f aca="false">IF(ABS((06_COMPONENT_CALC!H32+06_COMPONENT_CALC!H33+06_COMPONENT_CALC!H34)-06_COMPONENT_CALC!H35)&lt;0.01,"PASS","FAIL")</f>
        <v>PASS</v>
      </c>
    </row>
    <row r="43" customFormat="false" ht="15" hidden="false" customHeight="false" outlineLevel="0" collapsed="false">
      <c r="B43" s="10" t="s">
        <v>638</v>
      </c>
      <c r="C43" s="3" t="str">
        <f aca="false">IF(07_GOVERNMENT_SHARE!F32&lt;06_COMPONENT_CALC!H35,"PASS","FAIL")</f>
        <v>PASS</v>
      </c>
    </row>
    <row r="44" customFormat="false" ht="15" hidden="false" customHeight="false" outlineLevel="0" collapsed="false">
      <c r="B44" s="10" t="s">
        <v>639</v>
      </c>
      <c r="C44" s="3" t="str">
        <f aca="false">IF(ABS(07_GOVERNMENT_SHARE!G32+07_GOVERNMENT_SHARE!H32-07_GOVERNMENT_SHARE!F32)&lt;0.01,"PASS","FAIL")</f>
        <v>PASS</v>
      </c>
    </row>
    <row r="45" customFormat="false" ht="15" hidden="false" customHeight="false" outlineLevel="0" collapsed="false">
      <c r="B45" s="10" t="s">
        <v>640</v>
      </c>
      <c r="C45" s="3" t="str">
        <f aca="false">IF(SUMPRODUCT(--(07_GOVERNMENT_SHARE!F5:F30&gt;07_GOVERNMENT_SHARE!C5:C30))=0,"PASS","FAIL")</f>
        <v>PASS</v>
      </c>
    </row>
    <row r="46" customFormat="false" ht="15" hidden="false" customHeight="false" outlineLevel="0" collapsed="false">
      <c r="B46" s="10" t="s">
        <v>641</v>
      </c>
      <c r="C46" s="3" t="str">
        <f aca="false">IF(ABS(SUM(10_STATE_ALLOCATORS!F8:F58)-06_COMPONENT_CALC!H35)&lt;0.5,"PASS","FAIL")</f>
        <v>PASS</v>
      </c>
    </row>
    <row r="47" customFormat="false" ht="15" hidden="false" customHeight="false" outlineLevel="0" collapsed="false">
      <c r="B47" s="10" t="s">
        <v>642</v>
      </c>
      <c r="C47" s="3" t="str">
        <f aca="false">IF(ABS(02_2010_BASELINE!D36-249026.4)&lt;=0.15,"PASS","FAIL")</f>
        <v>PASS</v>
      </c>
    </row>
    <row r="48" customFormat="false" ht="15" hidden="false" customHeight="false" outlineLevel="0" collapsed="false">
      <c r="B48" s="10" t="s">
        <v>643</v>
      </c>
      <c r="C48" s="3" t="str">
        <f aca="false">IF(COUNTA(06_COMPONENT_CALC!J5:J30)=26,"PASS","FAIL")</f>
        <v>PASS</v>
      </c>
    </row>
    <row r="51" customFormat="false" ht="15" hidden="false" customHeight="false" outlineLevel="0" collapsed="false">
      <c r="B51" s="5" t="s">
        <v>644</v>
      </c>
    </row>
    <row r="52" customFormat="false" ht="15" hidden="false" customHeight="false" outlineLevel="0" collapsed="false">
      <c r="B52" s="10" t="s">
        <v>645</v>
      </c>
      <c r="C52" s="48"/>
      <c r="D52" s="27" t="s">
        <v>646</v>
      </c>
    </row>
    <row r="53" customFormat="false" ht="15" hidden="false" customHeight="false" outlineLevel="0" collapsed="false">
      <c r="B53" s="10" t="s">
        <v>647</v>
      </c>
      <c r="C53" s="48"/>
      <c r="D53" s="27" t="s">
        <v>646</v>
      </c>
    </row>
    <row r="54" customFormat="false" ht="15" hidden="false" customHeight="false" outlineLevel="0" collapsed="false">
      <c r="B54" s="10" t="s">
        <v>648</v>
      </c>
      <c r="C54" s="48"/>
      <c r="D54" s="27" t="s">
        <v>646</v>
      </c>
    </row>
    <row r="55" customFormat="false" ht="15" hidden="false" customHeight="false" outlineLevel="0" collapsed="false">
      <c r="B55" s="10" t="s">
        <v>649</v>
      </c>
      <c r="C55" s="48"/>
      <c r="D55" s="27" t="s">
        <v>646</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46"/>
    <col collapsed="false" customWidth="true" hidden="false" outlineLevel="0" max="3" min="3" style="0" width="16"/>
    <col collapsed="false" customWidth="true" hidden="false" outlineLevel="0" max="4" min="4" style="0" width="18"/>
    <col collapsed="false" customWidth="true" hidden="false" outlineLevel="0" max="5" min="5" style="0" width="14"/>
    <col collapsed="false" customWidth="true" hidden="false" outlineLevel="0" max="6" min="6" style="0" width="8"/>
  </cols>
  <sheetData>
    <row r="1" customFormat="false" ht="25.5" hidden="false" customHeight="true" outlineLevel="0" collapsed="false">
      <c r="A1" s="1" t="s">
        <v>650</v>
      </c>
      <c r="B1" s="1"/>
      <c r="C1" s="1"/>
      <c r="D1" s="1"/>
      <c r="E1" s="1"/>
      <c r="F1" s="1"/>
      <c r="G1" s="1"/>
      <c r="H1" s="1"/>
      <c r="I1" s="1"/>
      <c r="J1" s="1"/>
      <c r="K1" s="1"/>
      <c r="L1" s="1"/>
      <c r="M1" s="1"/>
      <c r="N1" s="1"/>
    </row>
    <row r="2" customFormat="false" ht="15" hidden="false" customHeight="false" outlineLevel="0" collapsed="false">
      <c r="A2" s="2" t="s">
        <v>651</v>
      </c>
      <c r="B2" s="2"/>
      <c r="C2" s="2"/>
      <c r="D2" s="2"/>
      <c r="E2" s="2"/>
      <c r="F2" s="2"/>
      <c r="G2" s="2"/>
      <c r="H2" s="2"/>
      <c r="I2" s="2"/>
      <c r="J2" s="2"/>
      <c r="K2" s="2"/>
      <c r="L2" s="2"/>
      <c r="M2" s="2"/>
      <c r="N2" s="2"/>
    </row>
    <row r="4" customFormat="false" ht="15" hidden="false" customHeight="false" outlineLevel="0" collapsed="false">
      <c r="A4" s="16" t="s">
        <v>652</v>
      </c>
    </row>
    <row r="5" customFormat="false" ht="30" hidden="false" customHeight="true" outlineLevel="0" collapsed="false">
      <c r="A5" s="8" t="s">
        <v>93</v>
      </c>
      <c r="B5" s="8" t="s">
        <v>216</v>
      </c>
      <c r="C5" s="8" t="s">
        <v>220</v>
      </c>
      <c r="D5" s="8" t="s">
        <v>221</v>
      </c>
      <c r="E5" s="8" t="s">
        <v>653</v>
      </c>
      <c r="F5" s="8" t="s">
        <v>654</v>
      </c>
    </row>
    <row r="6" customFormat="false" ht="15" hidden="false" customHeight="false" outlineLevel="0" collapsed="false">
      <c r="A6" s="3" t="s">
        <v>96</v>
      </c>
      <c r="B6" s="28" t="n">
        <f aca="false">06_COMPONENT_CALC!D32</f>
        <v>28379.1</v>
      </c>
      <c r="C6" s="28" t="n">
        <f aca="false">06_COMPONENT_CALC!H32</f>
        <v>45416.4580239801</v>
      </c>
      <c r="D6" s="28" t="n">
        <f aca="false">06_COMPONENT_CALC!I32</f>
        <v>46609.6570602675</v>
      </c>
      <c r="E6" s="19" t="n">
        <f aca="false">C6/B6-1</f>
        <v>0.600348778642738</v>
      </c>
      <c r="F6" s="19" t="n">
        <f aca="false">C6/C9</f>
        <v>0.0958922426221359</v>
      </c>
    </row>
    <row r="7" customFormat="false" ht="15" hidden="false" customHeight="false" outlineLevel="0" collapsed="false">
      <c r="A7" s="3" t="s">
        <v>106</v>
      </c>
      <c r="B7" s="28" t="n">
        <f aca="false">06_COMPONENT_CALC!D33</f>
        <v>179084.9</v>
      </c>
      <c r="C7" s="28" t="n">
        <f aca="false">06_COMPONENT_CALC!H33</f>
        <v>372322.035230014</v>
      </c>
      <c r="D7" s="28" t="n">
        <f aca="false">06_COMPONENT_CALC!I33</f>
        <v>316205.942601772</v>
      </c>
      <c r="E7" s="19" t="n">
        <f aca="false">C7/B7-1</f>
        <v>1.07902528482309</v>
      </c>
      <c r="F7" s="19" t="n">
        <f aca="false">C7/C9</f>
        <v>0.78612019715392</v>
      </c>
    </row>
    <row r="8" customFormat="false" ht="15" hidden="false" customHeight="false" outlineLevel="0" collapsed="false">
      <c r="A8" s="3" t="s">
        <v>655</v>
      </c>
      <c r="B8" s="28" t="n">
        <f aca="false">06_COMPONENT_CALC!D34</f>
        <v>41562.5</v>
      </c>
      <c r="C8" s="28" t="n">
        <f aca="false">06_COMPONENT_CALC!H34</f>
        <v>55881.2363725615</v>
      </c>
      <c r="D8" s="28" t="n">
        <f aca="false">06_COMPONENT_CALC!I34</f>
        <v>57387.3433539516</v>
      </c>
      <c r="E8" s="19" t="n">
        <f aca="false">C8/B8-1</f>
        <v>0.344510950317268</v>
      </c>
      <c r="F8" s="19" t="n">
        <f aca="false">C8/C9</f>
        <v>0.117987560223944</v>
      </c>
    </row>
    <row r="9" customFormat="false" ht="15" hidden="false" customHeight="false" outlineLevel="0" collapsed="false">
      <c r="A9" s="5" t="s">
        <v>234</v>
      </c>
      <c r="B9" s="31" t="n">
        <f aca="false">06_COMPONENT_CALC!D35</f>
        <v>249026.5</v>
      </c>
      <c r="C9" s="31" t="n">
        <f aca="false">06_COMPONENT_CALC!H35</f>
        <v>473619.729626556</v>
      </c>
      <c r="D9" s="31" t="n">
        <f aca="false">06_COMPONENT_CALC!I35</f>
        <v>420202.943015991</v>
      </c>
      <c r="E9" s="49" t="n">
        <f aca="false">C9/B9-1</f>
        <v>0.901884858143836</v>
      </c>
      <c r="F9" s="49" t="n">
        <f aca="false">C9/C9</f>
        <v>1</v>
      </c>
    </row>
    <row r="11" customFormat="false" ht="15" hidden="false" customHeight="false" outlineLevel="0" collapsed="false">
      <c r="A11" s="16" t="s">
        <v>656</v>
      </c>
    </row>
    <row r="12" customFormat="false" ht="30" hidden="false" customHeight="true" outlineLevel="0" collapsed="false">
      <c r="A12" s="8" t="s">
        <v>398</v>
      </c>
      <c r="B12" s="8" t="s">
        <v>399</v>
      </c>
      <c r="C12" s="8" t="s">
        <v>657</v>
      </c>
      <c r="D12" s="8" t="s">
        <v>401</v>
      </c>
    </row>
    <row r="13" customFormat="false" ht="15" hidden="false" customHeight="false" outlineLevel="0" collapsed="false">
      <c r="A13" s="3" t="s">
        <v>417</v>
      </c>
      <c r="B13" s="15" t="n">
        <v>100674.8</v>
      </c>
      <c r="C13" s="28" t="n">
        <f aca="false">07_GOVERNMENT_SHARE!F32</f>
        <v>198303.409040721</v>
      </c>
      <c r="D13" s="27" t="s">
        <v>658</v>
      </c>
    </row>
    <row r="14" customFormat="false" ht="15" hidden="false" customHeight="false" outlineLevel="0" collapsed="false">
      <c r="A14" s="3" t="s">
        <v>659</v>
      </c>
      <c r="B14" s="19" t="n">
        <f aca="false">B13/B9</f>
        <v>0.404273440778391</v>
      </c>
      <c r="C14" s="19" t="n">
        <f aca="false">C13/C9</f>
        <v>0.418697525960502</v>
      </c>
      <c r="D14" s="27" t="s">
        <v>660</v>
      </c>
    </row>
    <row r="15" customFormat="false" ht="15" hidden="false" customHeight="false" outlineLevel="0" collapsed="false">
      <c r="A15" s="3" t="s">
        <v>241</v>
      </c>
      <c r="C15" s="28" t="n">
        <f aca="false">07_GOVERNMENT_SHARE!G32</f>
        <v>98836.752415498</v>
      </c>
    </row>
    <row r="16" customFormat="false" ht="15" hidden="false" customHeight="false" outlineLevel="0" collapsed="false">
      <c r="A16" s="3" t="s">
        <v>661</v>
      </c>
      <c r="C16" s="28" t="n">
        <f aca="false">07_GOVERNMENT_SHARE!H32</f>
        <v>99466.656625223</v>
      </c>
    </row>
    <row r="17" customFormat="false" ht="15" hidden="false" customHeight="false" outlineLevel="0" collapsed="false">
      <c r="A17" s="3" t="s">
        <v>24</v>
      </c>
      <c r="B17" s="21" t="n">
        <v>807</v>
      </c>
      <c r="C17" s="20" t="n">
        <f aca="false">C9*1000000/01_PARAMETERS!B7</f>
        <v>1427.02216224821</v>
      </c>
    </row>
    <row r="18" customFormat="false" ht="15" hidden="false" customHeight="false" outlineLevel="0" collapsed="false">
      <c r="A18" s="3" t="s">
        <v>26</v>
      </c>
      <c r="B18" s="39" t="n">
        <v>2.05</v>
      </c>
      <c r="C18" s="20" t="n">
        <f aca="false">C9/(09_PER_DRINK_CAPITA!C9*1000)</f>
        <v>3.165911516102</v>
      </c>
    </row>
    <row r="19" customFormat="false" ht="15" hidden="false" customHeight="false" outlineLevel="0" collapsed="false">
      <c r="A19" s="3" t="s">
        <v>418</v>
      </c>
      <c r="B19" s="39" t="n">
        <v>0.83</v>
      </c>
      <c r="C19" s="20" t="n">
        <f aca="false">C13/(09_PER_DRINK_CAPITA!C9*1000)</f>
        <v>1.32555931920177</v>
      </c>
    </row>
    <row r="21" customFormat="false" ht="15" hidden="false" customHeight="false" outlineLevel="0" collapsed="false">
      <c r="A21" s="16" t="s">
        <v>662</v>
      </c>
    </row>
    <row r="22" customFormat="false" ht="30" hidden="false" customHeight="true" outlineLevel="0" collapsed="false">
      <c r="A22" s="8" t="s">
        <v>91</v>
      </c>
      <c r="B22" s="8" t="s">
        <v>92</v>
      </c>
      <c r="C22" s="8" t="s">
        <v>216</v>
      </c>
      <c r="D22" s="8" t="s">
        <v>663</v>
      </c>
      <c r="E22" s="8" t="s">
        <v>664</v>
      </c>
      <c r="F22" s="8" t="s">
        <v>142</v>
      </c>
    </row>
    <row r="23" customFormat="false" ht="15" hidden="false" customHeight="false" outlineLevel="0" collapsed="false">
      <c r="A23" s="10" t="n">
        <v>1</v>
      </c>
      <c r="B23" s="10" t="s">
        <v>95</v>
      </c>
      <c r="C23" s="28" t="n">
        <f aca="false">06_COMPONENT_CALC!D5</f>
        <v>12044.6</v>
      </c>
      <c r="D23" s="28" t="n">
        <f aca="false">06_COMPONENT_CALC!H5</f>
        <v>16366.6173094705</v>
      </c>
      <c r="E23" s="19" t="n">
        <f aca="false">D23/C23-1</f>
        <v>0.358834441116388</v>
      </c>
      <c r="F23" s="23" t="s">
        <v>145</v>
      </c>
    </row>
    <row r="24" customFormat="false" ht="15" hidden="false" customHeight="false" outlineLevel="0" collapsed="false">
      <c r="A24" s="10" t="n">
        <v>2</v>
      </c>
      <c r="B24" s="10" t="s">
        <v>97</v>
      </c>
      <c r="C24" s="28" t="n">
        <f aca="false">06_COMPONENT_CALC!D6</f>
        <v>5948.5</v>
      </c>
      <c r="D24" s="28" t="n">
        <f aca="false">06_COMPONENT_CALC!H6</f>
        <v>12162.3316773951</v>
      </c>
      <c r="E24" s="19" t="n">
        <f aca="false">D24/C24-1</f>
        <v>1.04460480413467</v>
      </c>
      <c r="F24" s="7" t="s">
        <v>148</v>
      </c>
    </row>
    <row r="25" customFormat="false" ht="15" hidden="false" customHeight="false" outlineLevel="0" collapsed="false">
      <c r="A25" s="10" t="n">
        <v>3</v>
      </c>
      <c r="B25" s="10" t="s">
        <v>98</v>
      </c>
      <c r="C25" s="28" t="n">
        <f aca="false">06_COMPONENT_CALC!D7</f>
        <v>1524.5</v>
      </c>
      <c r="D25" s="28" t="n">
        <f aca="false">06_COMPONENT_CALC!H7</f>
        <v>3407.17517170101</v>
      </c>
      <c r="E25" s="19" t="n">
        <f aca="false">D25/C25-1</f>
        <v>1.23494599652411</v>
      </c>
      <c r="F25" s="23" t="s">
        <v>145</v>
      </c>
    </row>
    <row r="26" customFormat="false" ht="15" hidden="false" customHeight="false" outlineLevel="0" collapsed="false">
      <c r="A26" s="10" t="n">
        <v>4</v>
      </c>
      <c r="B26" s="10" t="s">
        <v>99</v>
      </c>
      <c r="C26" s="28" t="n">
        <f aca="false">06_COMPONENT_CALC!D8</f>
        <v>1166.8</v>
      </c>
      <c r="D26" s="28" t="n">
        <f aca="false">06_COMPONENT_CALC!H8</f>
        <v>1505.6287544484</v>
      </c>
      <c r="E26" s="19" t="n">
        <f aca="false">D26/C26-1</f>
        <v>0.290391459074733</v>
      </c>
      <c r="F26" s="7" t="s">
        <v>148</v>
      </c>
    </row>
    <row r="27" customFormat="false" ht="15" hidden="false" customHeight="false" outlineLevel="0" collapsed="false">
      <c r="A27" s="10" t="n">
        <v>5</v>
      </c>
      <c r="B27" s="10" t="s">
        <v>100</v>
      </c>
      <c r="C27" s="28" t="n">
        <f aca="false">06_COMPONENT_CALC!D9</f>
        <v>1545.5</v>
      </c>
      <c r="D27" s="28" t="n">
        <f aca="false">06_COMPONENT_CALC!H9</f>
        <v>3454.10903762802</v>
      </c>
      <c r="E27" s="19" t="n">
        <f aca="false">D27/C27-1</f>
        <v>1.23494599652411</v>
      </c>
      <c r="F27" s="23" t="s">
        <v>145</v>
      </c>
    </row>
    <row r="28" customFormat="false" ht="15" hidden="false" customHeight="false" outlineLevel="0" collapsed="false">
      <c r="A28" s="10" t="n">
        <v>6</v>
      </c>
      <c r="B28" s="10" t="s">
        <v>101</v>
      </c>
      <c r="C28" s="28" t="n">
        <f aca="false">06_COMPONENT_CALC!D10</f>
        <v>2750</v>
      </c>
      <c r="D28" s="28" t="n">
        <f aca="false">06_COMPONENT_CALC!H10</f>
        <v>3407.19924816453</v>
      </c>
      <c r="E28" s="19" t="n">
        <f aca="false">D28/C28-1</f>
        <v>0.238981544787103</v>
      </c>
      <c r="F28" s="24" t="s">
        <v>157</v>
      </c>
    </row>
    <row r="29" customFormat="false" ht="15" hidden="false" customHeight="false" outlineLevel="0" collapsed="false">
      <c r="A29" s="10" t="n">
        <v>7</v>
      </c>
      <c r="B29" s="10" t="s">
        <v>102</v>
      </c>
      <c r="C29" s="28" t="n">
        <f aca="false">06_COMPONENT_CALC!D11</f>
        <v>1048.8</v>
      </c>
      <c r="D29" s="28" t="n">
        <f aca="false">06_COMPONENT_CALC!H11</f>
        <v>1258.804536862</v>
      </c>
      <c r="E29" s="19" t="n">
        <f aca="false">D29/C29-1</f>
        <v>0.200233158716632</v>
      </c>
      <c r="F29" s="3" t="s">
        <v>160</v>
      </c>
    </row>
    <row r="30" customFormat="false" ht="15" hidden="false" customHeight="false" outlineLevel="0" collapsed="false">
      <c r="A30" s="10" t="n">
        <v>8</v>
      </c>
      <c r="B30" s="10" t="s">
        <v>103</v>
      </c>
      <c r="C30" s="28" t="n">
        <f aca="false">06_COMPONENT_CALC!D12</f>
        <v>34.8</v>
      </c>
      <c r="D30" s="28" t="n">
        <f aca="false">06_COMPONENT_CALC!H12</f>
        <v>56.6963660834455</v>
      </c>
      <c r="E30" s="19" t="n">
        <f aca="false">D30/C30-1</f>
        <v>0.629205921938089</v>
      </c>
      <c r="F30" s="23" t="s">
        <v>145</v>
      </c>
    </row>
    <row r="31" customFormat="false" ht="15" hidden="false" customHeight="false" outlineLevel="0" collapsed="false">
      <c r="A31" s="10" t="n">
        <v>9</v>
      </c>
      <c r="B31" s="10" t="s">
        <v>104</v>
      </c>
      <c r="C31" s="28" t="n">
        <f aca="false">06_COMPONENT_CALC!D13</f>
        <v>2315.6</v>
      </c>
      <c r="D31" s="28" t="n">
        <f aca="false">06_COMPONENT_CALC!H13</f>
        <v>3797.89592222716</v>
      </c>
      <c r="E31" s="19" t="n">
        <f aca="false">D31/C31-1</f>
        <v>0.640134704710295</v>
      </c>
      <c r="F31" s="3" t="s">
        <v>160</v>
      </c>
    </row>
    <row r="32" customFormat="false" ht="15" hidden="false" customHeight="false" outlineLevel="0" collapsed="false">
      <c r="A32" s="10" t="n">
        <v>10</v>
      </c>
      <c r="B32" s="10" t="s">
        <v>105</v>
      </c>
      <c r="C32" s="28" t="n">
        <f aca="false">06_COMPONENT_CALC!D14</f>
        <v>76858.6</v>
      </c>
      <c r="D32" s="28" t="n">
        <f aca="false">06_COMPONENT_CALC!H14</f>
        <v>172459.11456777</v>
      </c>
      <c r="E32" s="19" t="n">
        <f aca="false">D32/C32-1</f>
        <v>1.24384928385074</v>
      </c>
      <c r="F32" s="23" t="s">
        <v>145</v>
      </c>
    </row>
    <row r="33" customFormat="false" ht="15" hidden="false" customHeight="false" outlineLevel="0" collapsed="false">
      <c r="A33" s="10" t="n">
        <v>11</v>
      </c>
      <c r="B33" s="10" t="s">
        <v>107</v>
      </c>
      <c r="C33" s="28" t="n">
        <f aca="false">06_COMPONENT_CALC!D15</f>
        <v>6218</v>
      </c>
      <c r="D33" s="28" t="n">
        <f aca="false">06_COMPONENT_CALC!H15</f>
        <v>13952.2548469839</v>
      </c>
      <c r="E33" s="19" t="n">
        <f aca="false">D33/C33-1</f>
        <v>1.24384928385074</v>
      </c>
      <c r="F33" s="23" t="s">
        <v>145</v>
      </c>
    </row>
    <row r="34" customFormat="false" ht="15" hidden="false" customHeight="false" outlineLevel="0" collapsed="false">
      <c r="A34" s="10" t="n">
        <v>12</v>
      </c>
      <c r="B34" s="10" t="s">
        <v>108</v>
      </c>
      <c r="C34" s="28" t="n">
        <f aca="false">06_COMPONENT_CALC!D16</f>
        <v>4619.9</v>
      </c>
      <c r="D34" s="28" t="n">
        <f aca="false">06_COMPONENT_CALC!H16</f>
        <v>6431.819673994</v>
      </c>
      <c r="E34" s="19" t="n">
        <f aca="false">D34/C34-1</f>
        <v>0.392198894779973</v>
      </c>
      <c r="F34" s="7" t="s">
        <v>148</v>
      </c>
    </row>
    <row r="35" customFormat="false" ht="15" hidden="false" customHeight="false" outlineLevel="0" collapsed="false">
      <c r="A35" s="10" t="n">
        <v>13</v>
      </c>
      <c r="B35" s="10" t="s">
        <v>109</v>
      </c>
      <c r="C35" s="28" t="n">
        <f aca="false">06_COMPONENT_CALC!D17</f>
        <v>1983.4</v>
      </c>
      <c r="D35" s="28" t="n">
        <f aca="false">06_COMPONENT_CALC!H17</f>
        <v>2705.84866825999</v>
      </c>
      <c r="E35" s="19" t="n">
        <f aca="false">D35/C35-1</f>
        <v>0.364247589119689</v>
      </c>
      <c r="F35" s="23" t="s">
        <v>145</v>
      </c>
    </row>
    <row r="36" customFormat="false" ht="15" hidden="false" customHeight="false" outlineLevel="0" collapsed="false">
      <c r="A36" s="10" t="n">
        <v>14</v>
      </c>
      <c r="B36" s="10" t="s">
        <v>110</v>
      </c>
      <c r="C36" s="28" t="n">
        <f aca="false">06_COMPONENT_CALC!D18</f>
        <v>228.4</v>
      </c>
      <c r="D36" s="28" t="n">
        <f aca="false">06_COMPONENT_CALC!H18</f>
        <v>468.848062305475</v>
      </c>
      <c r="E36" s="19" t="n">
        <f aca="false">D36/C36-1</f>
        <v>1.05274983496267</v>
      </c>
      <c r="F36" s="7" t="s">
        <v>148</v>
      </c>
    </row>
    <row r="37" customFormat="false" ht="15" hidden="false" customHeight="false" outlineLevel="0" collapsed="false">
      <c r="A37" s="10" t="n">
        <v>15</v>
      </c>
      <c r="B37" s="10" t="s">
        <v>111</v>
      </c>
      <c r="C37" s="28" t="n">
        <f aca="false">06_COMPONENT_CALC!D19</f>
        <v>75204.5</v>
      </c>
      <c r="D37" s="28" t="n">
        <f aca="false">06_COMPONENT_CALC!H19</f>
        <v>159517.888932364</v>
      </c>
      <c r="E37" s="19" t="n">
        <f aca="false">D37/C37-1</f>
        <v>1.12112159421796</v>
      </c>
      <c r="F37" s="23" t="s">
        <v>145</v>
      </c>
    </row>
    <row r="38" customFormat="false" ht="15" hidden="false" customHeight="false" outlineLevel="0" collapsed="false">
      <c r="A38" s="10" t="n">
        <v>16</v>
      </c>
      <c r="B38" s="10" t="s">
        <v>112</v>
      </c>
      <c r="C38" s="28" t="n">
        <f aca="false">06_COMPONENT_CALC!D20</f>
        <v>9150.5</v>
      </c>
      <c r="D38" s="28" t="n">
        <f aca="false">06_COMPONENT_CALC!H20</f>
        <v>9729.66995124159</v>
      </c>
      <c r="E38" s="19" t="n">
        <f aca="false">D38/C38-1</f>
        <v>0.0632938037529738</v>
      </c>
      <c r="F38" s="24" t="s">
        <v>157</v>
      </c>
    </row>
    <row r="39" customFormat="false" ht="15" hidden="false" customHeight="false" outlineLevel="0" collapsed="false">
      <c r="A39" s="10" t="n">
        <v>17</v>
      </c>
      <c r="B39" s="10" t="s">
        <v>113</v>
      </c>
      <c r="C39" s="28" t="n">
        <f aca="false">06_COMPONENT_CALC!D21</f>
        <v>2704.8</v>
      </c>
      <c r="D39" s="28" t="n">
        <f aca="false">06_COMPONENT_CALC!H21</f>
        <v>4423.46651684472</v>
      </c>
      <c r="E39" s="19" t="n">
        <f aca="false">D39/C39-1</f>
        <v>0.635413530333006</v>
      </c>
      <c r="F39" s="3" t="s">
        <v>160</v>
      </c>
    </row>
    <row r="40" customFormat="false" ht="15" hidden="false" customHeight="false" outlineLevel="0" collapsed="false">
      <c r="A40" s="10" t="n">
        <v>18</v>
      </c>
      <c r="B40" s="10" t="s">
        <v>114</v>
      </c>
      <c r="C40" s="28" t="n">
        <f aca="false">06_COMPONENT_CALC!D22</f>
        <v>2116.8</v>
      </c>
      <c r="D40" s="28" t="n">
        <f aca="false">06_COMPONENT_CALC!H22</f>
        <v>2633.12401025024</v>
      </c>
      <c r="E40" s="19" t="n">
        <f aca="false">D40/C40-1</f>
        <v>0.24391723840242</v>
      </c>
      <c r="F40" s="24" t="s">
        <v>157</v>
      </c>
    </row>
    <row r="41" customFormat="false" ht="15" hidden="false" customHeight="false" outlineLevel="0" collapsed="false">
      <c r="A41" s="10" t="n">
        <v>19</v>
      </c>
      <c r="B41" s="10" t="s">
        <v>115</v>
      </c>
      <c r="C41" s="28" t="n">
        <f aca="false">06_COMPONENT_CALC!D23</f>
        <v>559.4</v>
      </c>
      <c r="D41" s="28" t="n">
        <f aca="false">06_COMPONENT_CALC!H23</f>
        <v>574.14792332235</v>
      </c>
      <c r="E41" s="19" t="n">
        <f aca="false">D41/C41-1</f>
        <v>0.0263638243159638</v>
      </c>
      <c r="F41" s="3" t="s">
        <v>160</v>
      </c>
    </row>
    <row r="42" customFormat="false" ht="15" hidden="false" customHeight="false" outlineLevel="0" collapsed="false">
      <c r="A42" s="10" t="n">
        <v>20</v>
      </c>
      <c r="B42" s="10" t="s">
        <v>117</v>
      </c>
      <c r="C42" s="28" t="n">
        <f aca="false">06_COMPONENT_CALC!D24</f>
        <v>15865.9</v>
      </c>
      <c r="D42" s="28" t="n">
        <f aca="false">06_COMPONENT_CALC!H24</f>
        <v>19918.0682249656</v>
      </c>
      <c r="E42" s="19" t="n">
        <f aca="false">D42/C42-1</f>
        <v>0.255401094483492</v>
      </c>
      <c r="F42" s="3" t="s">
        <v>160</v>
      </c>
    </row>
    <row r="43" customFormat="false" ht="15" hidden="false" customHeight="false" outlineLevel="0" collapsed="false">
      <c r="A43" s="10" t="n">
        <v>21</v>
      </c>
      <c r="B43" s="10" t="s">
        <v>118</v>
      </c>
      <c r="C43" s="28" t="n">
        <f aca="false">06_COMPONENT_CALC!D25</f>
        <v>2160</v>
      </c>
      <c r="D43" s="28" t="n">
        <f aca="false">06_COMPONENT_CALC!H25</f>
        <v>2913.40008874442</v>
      </c>
      <c r="E43" s="19" t="n">
        <f aca="false">D43/C43-1</f>
        <v>0.348796337381675</v>
      </c>
      <c r="F43" s="7" t="s">
        <v>148</v>
      </c>
    </row>
    <row r="44" customFormat="false" ht="15" hidden="false" customHeight="false" outlineLevel="0" collapsed="false">
      <c r="A44" s="10" t="n">
        <v>22</v>
      </c>
      <c r="B44" s="10" t="s">
        <v>119</v>
      </c>
      <c r="C44" s="28" t="n">
        <f aca="false">06_COMPONENT_CALC!D26</f>
        <v>5998.8</v>
      </c>
      <c r="D44" s="28" t="n">
        <f aca="false">06_COMPONENT_CALC!H26</f>
        <v>8091.15946868519</v>
      </c>
      <c r="E44" s="19" t="n">
        <f aca="false">D44/C44-1</f>
        <v>0.348796337381675</v>
      </c>
      <c r="F44" s="23" t="s">
        <v>145</v>
      </c>
    </row>
    <row r="45" customFormat="false" ht="15" hidden="false" customHeight="false" outlineLevel="0" collapsed="false">
      <c r="A45" s="10" t="n">
        <v>23</v>
      </c>
      <c r="B45" s="10" t="s">
        <v>120</v>
      </c>
      <c r="C45" s="28" t="n">
        <f aca="false">06_COMPONENT_CALC!D27</f>
        <v>228.1</v>
      </c>
      <c r="D45" s="28" t="n">
        <f aca="false">06_COMPONENT_CALC!H27</f>
        <v>290.54554090366</v>
      </c>
      <c r="E45" s="19" t="n">
        <f aca="false">D45/C45-1</f>
        <v>0.273763879454889</v>
      </c>
      <c r="F45" s="23" t="s">
        <v>145</v>
      </c>
    </row>
    <row r="46" customFormat="false" ht="15" hidden="false" customHeight="false" outlineLevel="0" collapsed="false">
      <c r="A46" s="10" t="n">
        <v>24</v>
      </c>
      <c r="B46" s="10" t="s">
        <v>121</v>
      </c>
      <c r="C46" s="28" t="n">
        <f aca="false">06_COMPONENT_CALC!D28</f>
        <v>13461.9</v>
      </c>
      <c r="D46" s="28" t="n">
        <f aca="false">06_COMPONENT_CALC!H28</f>
        <v>19335.1463414455</v>
      </c>
      <c r="E46" s="19" t="n">
        <f aca="false">D46/C46-1</f>
        <v>0.436286582239169</v>
      </c>
      <c r="F46" s="7" t="s">
        <v>148</v>
      </c>
    </row>
    <row r="47" customFormat="false" ht="15" hidden="false" customHeight="false" outlineLevel="0" collapsed="false">
      <c r="A47" s="10" t="n">
        <v>25</v>
      </c>
      <c r="B47" s="10" t="s">
        <v>122</v>
      </c>
      <c r="C47" s="28" t="n">
        <f aca="false">06_COMPONENT_CALC!D29</f>
        <v>2914.3</v>
      </c>
      <c r="D47" s="28" t="n">
        <f aca="false">06_COMPONENT_CALC!H29</f>
        <v>4299.26487462998</v>
      </c>
      <c r="E47" s="19" t="n">
        <f aca="false">D47/C47-1</f>
        <v>0.475230715653839</v>
      </c>
      <c r="F47" s="3" t="s">
        <v>160</v>
      </c>
    </row>
    <row r="48" customFormat="false" ht="15" hidden="false" customHeight="false" outlineLevel="0" collapsed="false">
      <c r="A48" s="10" t="n">
        <v>26</v>
      </c>
      <c r="B48" s="10" t="s">
        <v>123</v>
      </c>
      <c r="C48" s="28" t="n">
        <f aca="false">06_COMPONENT_CALC!D30</f>
        <v>374.1</v>
      </c>
      <c r="D48" s="28" t="n">
        <f aca="false">06_COMPONENT_CALC!H30</f>
        <v>459.503909864747</v>
      </c>
      <c r="E48" s="19" t="n">
        <f aca="false">D48/C48-1</f>
        <v>0.22829165962242</v>
      </c>
      <c r="F48" s="24" t="s">
        <v>157</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96"/>
  </cols>
  <sheetData>
    <row r="1" customFormat="false" ht="25.5" hidden="false" customHeight="true" outlineLevel="0" collapsed="false">
      <c r="A1" s="1" t="s">
        <v>665</v>
      </c>
      <c r="B1" s="1"/>
      <c r="C1" s="1"/>
      <c r="D1" s="1"/>
      <c r="E1" s="1"/>
      <c r="F1" s="1"/>
      <c r="G1" s="1"/>
      <c r="H1" s="1"/>
      <c r="I1" s="1"/>
      <c r="J1" s="1"/>
      <c r="K1" s="1"/>
      <c r="L1" s="1"/>
      <c r="M1" s="1"/>
      <c r="N1" s="1"/>
    </row>
    <row r="2" customFormat="false" ht="15" hidden="false" customHeight="false" outlineLevel="0" collapsed="false">
      <c r="A2" s="2" t="s">
        <v>666</v>
      </c>
      <c r="B2" s="2"/>
      <c r="C2" s="2"/>
      <c r="D2" s="2"/>
      <c r="E2" s="2"/>
      <c r="F2" s="2"/>
      <c r="G2" s="2"/>
      <c r="H2" s="2"/>
      <c r="I2" s="2"/>
      <c r="J2" s="2"/>
      <c r="K2" s="2"/>
      <c r="L2" s="2"/>
      <c r="M2" s="2"/>
      <c r="N2" s="2"/>
    </row>
    <row r="4" customFormat="false" ht="45.75" hidden="false" customHeight="true" outlineLevel="0" collapsed="false">
      <c r="A4" s="3" t="s">
        <v>667</v>
      </c>
      <c r="B4" s="4" t="s">
        <v>668</v>
      </c>
    </row>
    <row r="5" customFormat="false" ht="45.75" hidden="false" customHeight="true" outlineLevel="0" collapsed="false">
      <c r="A5" s="3" t="s">
        <v>669</v>
      </c>
      <c r="B5" s="4" t="s">
        <v>670</v>
      </c>
    </row>
    <row r="6" customFormat="false" ht="45.75" hidden="false" customHeight="true" outlineLevel="0" collapsed="false">
      <c r="A6" s="3" t="s">
        <v>671</v>
      </c>
      <c r="B6" s="4" t="s">
        <v>672</v>
      </c>
    </row>
    <row r="7" customFormat="false" ht="45.75" hidden="false" customHeight="true" outlineLevel="0" collapsed="false">
      <c r="A7" s="3" t="s">
        <v>673</v>
      </c>
      <c r="B7" s="4" t="s">
        <v>674</v>
      </c>
    </row>
    <row r="8" customFormat="false" ht="45.75" hidden="false" customHeight="true" outlineLevel="0" collapsed="false">
      <c r="A8" s="3" t="s">
        <v>22</v>
      </c>
      <c r="B8" s="4" t="s">
        <v>675</v>
      </c>
    </row>
    <row r="9" customFormat="false" ht="45.75" hidden="false" customHeight="true" outlineLevel="0" collapsed="false">
      <c r="A9" s="3" t="s">
        <v>676</v>
      </c>
      <c r="B9" s="4" t="s">
        <v>677</v>
      </c>
    </row>
    <row r="10" customFormat="false" ht="45.75" hidden="false" customHeight="true" outlineLevel="0" collapsed="false">
      <c r="A10" s="3" t="s">
        <v>26</v>
      </c>
      <c r="B10" s="4" t="s">
        <v>678</v>
      </c>
    </row>
    <row r="11" customFormat="false" ht="45.75" hidden="false" customHeight="true" outlineLevel="0" collapsed="false">
      <c r="A11" s="3" t="s">
        <v>679</v>
      </c>
      <c r="B11" s="4" t="s">
        <v>680</v>
      </c>
    </row>
    <row r="12" customFormat="false" ht="45.75" hidden="false" customHeight="true" outlineLevel="0" collapsed="false">
      <c r="A12" s="3" t="s">
        <v>681</v>
      </c>
      <c r="B12" s="4" t="s">
        <v>682</v>
      </c>
    </row>
    <row r="13" customFormat="false" ht="45.75" hidden="false" customHeight="true" outlineLevel="0" collapsed="false">
      <c r="A13" s="5" t="s">
        <v>683</v>
      </c>
      <c r="B13" s="6" t="s">
        <v>684</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3" min="2" style="0" width="20"/>
    <col collapsed="false" customWidth="true" hidden="false" outlineLevel="0" max="4" min="4" style="0" width="78"/>
  </cols>
  <sheetData>
    <row r="1" customFormat="false" ht="25.5" hidden="false" customHeight="true" outlineLevel="0" collapsed="false">
      <c r="A1" s="1" t="s">
        <v>685</v>
      </c>
      <c r="B1" s="1"/>
      <c r="C1" s="1"/>
      <c r="D1" s="1"/>
      <c r="E1" s="1"/>
      <c r="F1" s="1"/>
      <c r="G1" s="1"/>
      <c r="H1" s="1"/>
      <c r="I1" s="1"/>
      <c r="J1" s="1"/>
      <c r="K1" s="1"/>
      <c r="L1" s="1"/>
      <c r="M1" s="1"/>
      <c r="N1" s="1"/>
    </row>
    <row r="2" customFormat="false" ht="15" hidden="false" customHeight="false" outlineLevel="0" collapsed="false">
      <c r="A2" s="2" t="s">
        <v>686</v>
      </c>
      <c r="B2" s="2"/>
      <c r="C2" s="2"/>
      <c r="D2" s="2"/>
      <c r="E2" s="2"/>
      <c r="F2" s="2"/>
      <c r="G2" s="2"/>
      <c r="H2" s="2"/>
      <c r="I2" s="2"/>
      <c r="J2" s="2"/>
      <c r="K2" s="2"/>
      <c r="L2" s="2"/>
      <c r="M2" s="2"/>
      <c r="N2" s="2"/>
    </row>
    <row r="4" customFormat="false" ht="30" hidden="false" customHeight="true" outlineLevel="0" collapsed="false">
      <c r="A4" s="8" t="s">
        <v>687</v>
      </c>
      <c r="B4" s="8" t="s">
        <v>688</v>
      </c>
      <c r="C4" s="8" t="s">
        <v>126</v>
      </c>
      <c r="D4" s="8" t="s">
        <v>571</v>
      </c>
    </row>
    <row r="5" customFormat="false" ht="15" hidden="false" customHeight="false" outlineLevel="0" collapsed="false">
      <c r="A5" s="3" t="s">
        <v>689</v>
      </c>
      <c r="B5" s="20" t="n">
        <v>1933.6</v>
      </c>
      <c r="C5" s="39" t="n">
        <v>1933.6</v>
      </c>
      <c r="D5" s="24" t="str">
        <f aca="false">IF(ABS(B5-C5)&lt;MAX(1,C5*0.002),"PASS","FAIL")</f>
        <v>PASS</v>
      </c>
    </row>
    <row r="6" customFormat="false" ht="15" hidden="false" customHeight="false" outlineLevel="0" collapsed="false">
      <c r="A6" s="3" t="s">
        <v>24</v>
      </c>
      <c r="B6" s="20" t="n">
        <v>634.725762427557</v>
      </c>
      <c r="C6" s="39" t="n">
        <v>635</v>
      </c>
      <c r="D6" s="24" t="str">
        <f aca="false">IF(ABS(B6-C6)&lt;MAX(1,C6*0.002),"PASS","FAIL")</f>
        <v>PASS</v>
      </c>
    </row>
    <row r="7" customFormat="false" ht="15" hidden="false" customHeight="false" outlineLevel="0" collapsed="false">
      <c r="A7" s="3" t="s">
        <v>26</v>
      </c>
      <c r="B7" s="20" t="n">
        <v>1.59</v>
      </c>
      <c r="C7" s="39" t="n">
        <v>1.59</v>
      </c>
      <c r="D7" s="24" t="str">
        <f aca="false">IF(ABS(B7-C7)&lt;MAX(1,C7*0.002),"PASS","FAIL")</f>
        <v>PASS</v>
      </c>
    </row>
    <row r="9" customFormat="false" ht="15" hidden="false" customHeight="false" outlineLevel="0" collapsed="false">
      <c r="A9" s="16" t="s">
        <v>690</v>
      </c>
    </row>
    <row r="10" customFormat="false" ht="39.75" hidden="false" customHeight="true" outlineLevel="0" collapsed="false">
      <c r="A10" s="3" t="s">
        <v>691</v>
      </c>
      <c r="B10" s="12" t="n">
        <v>0.925555267475364</v>
      </c>
      <c r="D10" s="11" t="s">
        <v>692</v>
      </c>
    </row>
    <row r="11" customFormat="false" ht="39.75" hidden="false" customHeight="true" outlineLevel="0" collapsed="false">
      <c r="A11" s="3" t="s">
        <v>693</v>
      </c>
      <c r="B11" s="50" t="n">
        <v>0.0077646354906004</v>
      </c>
      <c r="D11" s="11" t="s">
        <v>694</v>
      </c>
    </row>
    <row r="12" customFormat="false" ht="39.75" hidden="false" customHeight="true" outlineLevel="0" collapsed="false">
      <c r="A12" s="3" t="s">
        <v>695</v>
      </c>
      <c r="B12" s="50" t="n">
        <v>0.00986687943648922</v>
      </c>
      <c r="D12" s="11" t="s">
        <v>696</v>
      </c>
    </row>
    <row r="13" customFormat="false" ht="39.75" hidden="false" customHeight="true" outlineLevel="0" collapsed="false">
      <c r="A13" s="3" t="s">
        <v>697</v>
      </c>
      <c r="B13" s="50" t="n">
        <v>0.00906897088587887</v>
      </c>
      <c r="D13" s="11" t="s">
        <v>698</v>
      </c>
    </row>
    <row r="14" customFormat="false" ht="39.75" hidden="false" customHeight="true" outlineLevel="0" collapsed="false">
      <c r="A14" s="3" t="s">
        <v>699</v>
      </c>
      <c r="B14" s="25" t="n">
        <v>0.858950686782256</v>
      </c>
      <c r="D14" s="11" t="s">
        <v>700</v>
      </c>
    </row>
    <row r="15" customFormat="false" ht="39.75" hidden="false" customHeight="true" outlineLevel="0" collapsed="false">
      <c r="A15" s="3" t="s">
        <v>701</v>
      </c>
      <c r="B15" s="25" t="n">
        <v>2.2973325420654</v>
      </c>
      <c r="D15" s="11" t="s">
        <v>702</v>
      </c>
    </row>
    <row r="16" customFormat="false" ht="39.75" hidden="false" customHeight="true" outlineLevel="0" collapsed="false">
      <c r="A16" s="3" t="s">
        <v>703</v>
      </c>
      <c r="B16" s="25" t="n">
        <v>2.49</v>
      </c>
      <c r="D16" s="11" t="s">
        <v>704</v>
      </c>
    </row>
    <row r="17" customFormat="false" ht="39.75" hidden="false" customHeight="true" outlineLevel="0" collapsed="false">
      <c r="A17" s="3" t="s">
        <v>705</v>
      </c>
      <c r="B17" s="25" t="n">
        <v>1.21610062893082</v>
      </c>
      <c r="D17" s="11"/>
    </row>
    <row r="18" customFormat="false" ht="39.75" hidden="false" customHeight="true" outlineLevel="0" collapsed="false">
      <c r="A18" s="3" t="s">
        <v>706</v>
      </c>
      <c r="B18" s="25" t="n">
        <v>1.41356853831021</v>
      </c>
      <c r="D18" s="11"/>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34"/>
    <col collapsed="false" customWidth="true" hidden="false" outlineLevel="0" max="3" min="3" style="0" width="17"/>
    <col collapsed="false" customWidth="true" hidden="false" outlineLevel="0" max="4" min="4" style="0" width="15"/>
    <col collapsed="false" customWidth="true" hidden="false" outlineLevel="0" max="5" min="5" style="0" width="14"/>
    <col collapsed="false" customWidth="true" hidden="false" outlineLevel="0" max="6" min="6" style="0" width="34"/>
    <col collapsed="false" customWidth="true" hidden="false" outlineLevel="0" max="7" min="7" style="0" width="13"/>
    <col collapsed="false" customWidth="true" hidden="false" outlineLevel="0" max="8" min="8" style="0" width="30"/>
    <col collapsed="false" customWidth="true" hidden="false" outlineLevel="0" max="10" min="9" style="0" width="14"/>
    <col collapsed="false" customWidth="true" hidden="false" outlineLevel="0" max="11" min="11" style="0" width="7"/>
    <col collapsed="false" customWidth="true" hidden="false" outlineLevel="0" max="12" min="12" style="0" width="16"/>
  </cols>
  <sheetData>
    <row r="1" customFormat="false" ht="25.5" hidden="false" customHeight="true" outlineLevel="0" collapsed="false">
      <c r="A1" s="1" t="s">
        <v>707</v>
      </c>
      <c r="B1" s="1"/>
      <c r="C1" s="1"/>
      <c r="D1" s="1"/>
      <c r="E1" s="1"/>
      <c r="F1" s="1"/>
      <c r="G1" s="1"/>
      <c r="H1" s="1"/>
      <c r="I1" s="1"/>
      <c r="J1" s="1"/>
      <c r="K1" s="1"/>
      <c r="L1" s="1"/>
      <c r="M1" s="1"/>
      <c r="N1" s="1"/>
    </row>
    <row r="2" customFormat="false" ht="15" hidden="false" customHeight="false" outlineLevel="0" collapsed="false">
      <c r="A2" s="2" t="s">
        <v>708</v>
      </c>
      <c r="B2" s="2"/>
      <c r="C2" s="2"/>
      <c r="D2" s="2"/>
      <c r="E2" s="2"/>
      <c r="F2" s="2"/>
      <c r="G2" s="2"/>
      <c r="H2" s="2"/>
      <c r="I2" s="2"/>
      <c r="J2" s="2"/>
      <c r="K2" s="2"/>
      <c r="L2" s="2"/>
      <c r="M2" s="2"/>
      <c r="N2" s="2"/>
    </row>
    <row r="4" customFormat="false" ht="30" hidden="false" customHeight="true" outlineLevel="0" collapsed="false">
      <c r="A4" s="8" t="s">
        <v>91</v>
      </c>
      <c r="B4" s="8" t="s">
        <v>92</v>
      </c>
      <c r="C4" s="8" t="s">
        <v>93</v>
      </c>
      <c r="D4" s="8" t="s">
        <v>709</v>
      </c>
      <c r="E4" s="8" t="s">
        <v>217</v>
      </c>
      <c r="F4" s="8" t="s">
        <v>710</v>
      </c>
      <c r="G4" s="8" t="s">
        <v>218</v>
      </c>
      <c r="H4" s="8" t="s">
        <v>711</v>
      </c>
      <c r="I4" s="8" t="s">
        <v>657</v>
      </c>
      <c r="J4" s="8" t="s">
        <v>712</v>
      </c>
      <c r="K4" s="8" t="s">
        <v>142</v>
      </c>
      <c r="L4" s="8" t="s">
        <v>713</v>
      </c>
    </row>
    <row r="5" customFormat="false" ht="30" hidden="false" customHeight="true" outlineLevel="0" collapsed="false">
      <c r="A5" s="10" t="n">
        <v>1</v>
      </c>
      <c r="B5" s="10" t="s">
        <v>95</v>
      </c>
      <c r="C5" s="10" t="s">
        <v>96</v>
      </c>
      <c r="D5" s="15" t="n">
        <v>104.658385882862</v>
      </c>
      <c r="E5" s="12" t="n">
        <v>1.00484357741356</v>
      </c>
      <c r="F5" s="11" t="s">
        <v>714</v>
      </c>
      <c r="G5" s="12" t="n">
        <v>1.35228454623155</v>
      </c>
      <c r="H5" s="27" t="s">
        <v>715</v>
      </c>
      <c r="I5" s="17" t="n">
        <f aca="false">D5*E5*G5</f>
        <v>142.213419289282</v>
      </c>
      <c r="J5" s="15" t="n">
        <v>142.213419289283</v>
      </c>
      <c r="K5" s="23" t="s">
        <v>145</v>
      </c>
      <c r="L5" s="7" t="s">
        <v>716</v>
      </c>
    </row>
    <row r="6" customFormat="false" ht="30" hidden="false" customHeight="true" outlineLevel="0" collapsed="false">
      <c r="A6" s="10" t="n">
        <v>2</v>
      </c>
      <c r="B6" s="10" t="s">
        <v>97</v>
      </c>
      <c r="C6" s="10" t="s">
        <v>96</v>
      </c>
      <c r="D6" s="15" t="n">
        <v>49.9307202046742</v>
      </c>
      <c r="E6" s="12" t="n">
        <v>1.69962153022263</v>
      </c>
      <c r="F6" s="11" t="s">
        <v>717</v>
      </c>
      <c r="G6" s="12" t="n">
        <v>1.35228454623155</v>
      </c>
      <c r="H6" s="27" t="s">
        <v>715</v>
      </c>
      <c r="I6" s="17" t="n">
        <f aca="false">D6*E6*G6</f>
        <v>114.759365751248</v>
      </c>
      <c r="J6" s="15" t="n">
        <v>114.759365751248</v>
      </c>
      <c r="K6" s="7" t="s">
        <v>148</v>
      </c>
      <c r="L6" s="3" t="s">
        <v>476</v>
      </c>
    </row>
    <row r="7" customFormat="false" ht="30" hidden="false" customHeight="true" outlineLevel="0" collapsed="false">
      <c r="A7" s="10" t="n">
        <v>3</v>
      </c>
      <c r="B7" s="10" t="s">
        <v>98</v>
      </c>
      <c r="C7" s="10" t="s">
        <v>96</v>
      </c>
      <c r="D7" s="15" t="n">
        <v>12.796399588472</v>
      </c>
      <c r="E7" s="12" t="n">
        <v>1.4508487958942</v>
      </c>
      <c r="F7" s="11" t="s">
        <v>718</v>
      </c>
      <c r="G7" s="12" t="n">
        <v>1.35228454623155</v>
      </c>
      <c r="H7" s="27" t="s">
        <v>715</v>
      </c>
      <c r="I7" s="17" t="n">
        <f aca="false">D7*E7*G7</f>
        <v>25.1060293268999</v>
      </c>
      <c r="J7" s="15" t="n">
        <v>21.8570137669481</v>
      </c>
      <c r="K7" s="23" t="s">
        <v>145</v>
      </c>
      <c r="L7" s="3" t="s">
        <v>476</v>
      </c>
    </row>
    <row r="8" customFormat="false" ht="30" hidden="false" customHeight="true" outlineLevel="0" collapsed="false">
      <c r="A8" s="10" t="n">
        <v>4</v>
      </c>
      <c r="B8" s="10" t="s">
        <v>99</v>
      </c>
      <c r="C8" s="10" t="s">
        <v>96</v>
      </c>
      <c r="D8" s="15" t="n">
        <v>9.7939252475101</v>
      </c>
      <c r="E8" s="12" t="n">
        <v>0.93575196935752</v>
      </c>
      <c r="F8" s="11" t="s">
        <v>719</v>
      </c>
      <c r="G8" s="12" t="n">
        <v>1.37898877195066</v>
      </c>
      <c r="H8" s="27" t="s">
        <v>720</v>
      </c>
      <c r="I8" s="17" t="n">
        <f aca="false">D8*E8*G8</f>
        <v>12.6379974902034</v>
      </c>
      <c r="J8" s="15" t="n">
        <v>12.6379974902034</v>
      </c>
      <c r="K8" s="7" t="s">
        <v>148</v>
      </c>
      <c r="L8" s="7" t="s">
        <v>716</v>
      </c>
    </row>
    <row r="9" customFormat="false" ht="30" hidden="false" customHeight="true" outlineLevel="0" collapsed="false">
      <c r="A9" s="10" t="n">
        <v>5</v>
      </c>
      <c r="B9" s="10" t="s">
        <v>100</v>
      </c>
      <c r="C9" s="10" t="s">
        <v>96</v>
      </c>
      <c r="D9" s="15" t="n">
        <v>12.9726700977261</v>
      </c>
      <c r="E9" s="12" t="n">
        <v>1.4508487958942</v>
      </c>
      <c r="F9" s="11" t="s">
        <v>718</v>
      </c>
      <c r="G9" s="12" t="n">
        <v>1.35228454623155</v>
      </c>
      <c r="H9" s="27" t="s">
        <v>715</v>
      </c>
      <c r="I9" s="17" t="n">
        <f aca="false">D9*E9*G9</f>
        <v>25.4518650867325</v>
      </c>
      <c r="J9" s="15" t="n">
        <v>22.1580943108025</v>
      </c>
      <c r="K9" s="23" t="s">
        <v>145</v>
      </c>
      <c r="L9" s="3" t="s">
        <v>476</v>
      </c>
    </row>
    <row r="10" customFormat="false" ht="30" hidden="false" customHeight="true" outlineLevel="0" collapsed="false">
      <c r="A10" s="10" t="n">
        <v>6</v>
      </c>
      <c r="B10" s="10" t="s">
        <v>101</v>
      </c>
      <c r="C10" s="10" t="s">
        <v>96</v>
      </c>
      <c r="D10" s="15" t="n">
        <v>25.1139411489641</v>
      </c>
      <c r="E10" s="12" t="n">
        <v>0.950096861681519</v>
      </c>
      <c r="F10" s="11" t="s">
        <v>721</v>
      </c>
      <c r="G10" s="12" t="n">
        <v>1.35228454623155</v>
      </c>
      <c r="H10" s="27" t="s">
        <v>715</v>
      </c>
      <c r="I10" s="17" t="n">
        <f aca="false">D10*E10*G10</f>
        <v>32.2664243235839</v>
      </c>
      <c r="J10" s="15" t="n">
        <v>32.2664243235839</v>
      </c>
      <c r="K10" s="3" t="s">
        <v>160</v>
      </c>
      <c r="L10" s="3" t="s">
        <v>476</v>
      </c>
    </row>
    <row r="11" customFormat="false" ht="30" hidden="false" customHeight="true" outlineLevel="0" collapsed="false">
      <c r="A11" s="10" t="n">
        <v>7</v>
      </c>
      <c r="B11" s="10" t="s">
        <v>102</v>
      </c>
      <c r="C11" s="10" t="s">
        <v>96</v>
      </c>
      <c r="D11" s="15" t="n">
        <v>9.57800053710311</v>
      </c>
      <c r="E11" s="12" t="n">
        <v>1</v>
      </c>
      <c r="F11" s="11" t="s">
        <v>722</v>
      </c>
      <c r="G11" s="12" t="n">
        <v>1.20023315871663</v>
      </c>
      <c r="H11" s="27" t="s">
        <v>723</v>
      </c>
      <c r="I11" s="17" t="n">
        <f aca="false">D11*E11*G11</f>
        <v>11.4958338388369</v>
      </c>
      <c r="J11" s="15" t="n">
        <v>11.4958338388369</v>
      </c>
      <c r="K11" s="3" t="s">
        <v>160</v>
      </c>
      <c r="L11" s="7" t="s">
        <v>716</v>
      </c>
    </row>
    <row r="12" customFormat="false" ht="30" hidden="false" customHeight="true" outlineLevel="0" collapsed="false">
      <c r="A12" s="10" t="n">
        <v>8</v>
      </c>
      <c r="B12" s="10" t="s">
        <v>103</v>
      </c>
      <c r="C12" s="10" t="s">
        <v>96</v>
      </c>
      <c r="D12" s="15" t="n">
        <v>0.317805509812346</v>
      </c>
      <c r="E12" s="12" t="n">
        <v>1.2</v>
      </c>
      <c r="F12" s="11" t="s">
        <v>724</v>
      </c>
      <c r="G12" s="12" t="n">
        <v>1.35767160161507</v>
      </c>
      <c r="H12" s="27" t="s">
        <v>725</v>
      </c>
      <c r="I12" s="17" t="n">
        <f aca="false">D12*E12*G12</f>
        <v>0.517770618610827</v>
      </c>
      <c r="J12" s="15" t="n">
        <v>0.517770618610827</v>
      </c>
      <c r="K12" s="23" t="s">
        <v>145</v>
      </c>
      <c r="L12" s="7" t="s">
        <v>716</v>
      </c>
    </row>
    <row r="13" customFormat="false" ht="30" hidden="false" customHeight="true" outlineLevel="0" collapsed="false">
      <c r="A13" s="10" t="n">
        <v>9</v>
      </c>
      <c r="B13" s="10" t="s">
        <v>104</v>
      </c>
      <c r="C13" s="10" t="s">
        <v>96</v>
      </c>
      <c r="D13" s="15" t="n">
        <v>20.1207975649134</v>
      </c>
      <c r="E13" s="12" t="n">
        <v>1.63720714012702</v>
      </c>
      <c r="F13" s="11" t="s">
        <v>726</v>
      </c>
      <c r="G13" s="12" t="n">
        <v>1.01655804029608</v>
      </c>
      <c r="H13" s="27" t="s">
        <v>727</v>
      </c>
      <c r="I13" s="17" t="n">
        <f aca="false">D13*E13*G13</f>
        <v>33.4873669684684</v>
      </c>
      <c r="J13" s="15" t="n">
        <v>32.865690278951</v>
      </c>
      <c r="K13" s="3" t="s">
        <v>160</v>
      </c>
      <c r="L13" s="3" t="s">
        <v>476</v>
      </c>
    </row>
    <row r="14" customFormat="false" ht="30" hidden="false" customHeight="true" outlineLevel="0" collapsed="false">
      <c r="A14" s="10" t="n">
        <v>10</v>
      </c>
      <c r="B14" s="10" t="s">
        <v>105</v>
      </c>
      <c r="C14" s="10" t="s">
        <v>106</v>
      </c>
      <c r="D14" s="15" t="n">
        <v>554.141996593835</v>
      </c>
      <c r="E14" s="12" t="n">
        <v>1.4508487958942</v>
      </c>
      <c r="F14" s="11" t="s">
        <v>718</v>
      </c>
      <c r="G14" s="12" t="n">
        <v>1.34063859906674</v>
      </c>
      <c r="H14" s="27" t="s">
        <v>728</v>
      </c>
      <c r="I14" s="17" t="n">
        <f aca="false">D14*E14*G14</f>
        <v>1077.84159148883</v>
      </c>
      <c r="J14" s="15" t="n">
        <v>938.356209060864</v>
      </c>
      <c r="K14" s="23" t="s">
        <v>145</v>
      </c>
      <c r="L14" s="3" t="s">
        <v>476</v>
      </c>
    </row>
    <row r="15" customFormat="false" ht="30" hidden="false" customHeight="true" outlineLevel="0" collapsed="false">
      <c r="A15" s="10" t="n">
        <v>11</v>
      </c>
      <c r="B15" s="10" t="s">
        <v>107</v>
      </c>
      <c r="C15" s="10" t="s">
        <v>106</v>
      </c>
      <c r="D15" s="15" t="n">
        <v>44.8310915736231</v>
      </c>
      <c r="E15" s="12" t="n">
        <v>1.4508487958942</v>
      </c>
      <c r="F15" s="11" t="s">
        <v>718</v>
      </c>
      <c r="G15" s="12" t="n">
        <v>1.34063859906674</v>
      </c>
      <c r="H15" s="27" t="s">
        <v>728</v>
      </c>
      <c r="I15" s="17" t="n">
        <f aca="false">D15*E15*G15</f>
        <v>87.199337691261</v>
      </c>
      <c r="J15" s="15" t="n">
        <v>75.9147175194507</v>
      </c>
      <c r="K15" s="23" t="s">
        <v>145</v>
      </c>
      <c r="L15" s="3" t="s">
        <v>476</v>
      </c>
    </row>
    <row r="16" customFormat="false" ht="30" hidden="false" customHeight="true" outlineLevel="0" collapsed="false">
      <c r="A16" s="10" t="n">
        <v>12</v>
      </c>
      <c r="B16" s="10" t="s">
        <v>108</v>
      </c>
      <c r="C16" s="10" t="s">
        <v>106</v>
      </c>
      <c r="D16" s="15" t="n">
        <v>36.7689365880212</v>
      </c>
      <c r="E16" s="12" t="n">
        <v>0.891230711328566</v>
      </c>
      <c r="F16" s="11" t="s">
        <v>729</v>
      </c>
      <c r="G16" s="12" t="n">
        <v>1.34063859906674</v>
      </c>
      <c r="H16" s="27" t="s">
        <v>728</v>
      </c>
      <c r="I16" s="17" t="n">
        <f aca="false">D16*E16*G16</f>
        <v>43.9321980230801</v>
      </c>
      <c r="J16" s="15" t="n">
        <v>43.9321980230801</v>
      </c>
      <c r="K16" s="7" t="s">
        <v>148</v>
      </c>
      <c r="L16" s="3" t="s">
        <v>476</v>
      </c>
    </row>
    <row r="17" customFormat="false" ht="30" hidden="false" customHeight="true" outlineLevel="0" collapsed="false">
      <c r="A17" s="10" t="n">
        <v>13</v>
      </c>
      <c r="B17" s="10" t="s">
        <v>109</v>
      </c>
      <c r="C17" s="10" t="s">
        <v>106</v>
      </c>
      <c r="D17" s="15" t="n">
        <v>14.3000944077073</v>
      </c>
      <c r="E17" s="12" t="n">
        <v>1.00484357741356</v>
      </c>
      <c r="F17" s="11" t="s">
        <v>714</v>
      </c>
      <c r="G17" s="12" t="n">
        <v>1.34063859906674</v>
      </c>
      <c r="H17" s="27" t="s">
        <v>728</v>
      </c>
      <c r="I17" s="17" t="n">
        <f aca="false">D17*E17*G17</f>
        <v>19.2641160080922</v>
      </c>
      <c r="J17" s="15" t="n">
        <v>19.2641160080922</v>
      </c>
      <c r="K17" s="23" t="s">
        <v>145</v>
      </c>
      <c r="L17" s="7" t="s">
        <v>716</v>
      </c>
    </row>
    <row r="18" customFormat="false" ht="30" hidden="false" customHeight="true" outlineLevel="0" collapsed="false">
      <c r="A18" s="10" t="n">
        <v>14</v>
      </c>
      <c r="B18" s="10" t="s">
        <v>110</v>
      </c>
      <c r="C18" s="10" t="s">
        <v>106</v>
      </c>
      <c r="D18" s="15" t="n">
        <v>1.64673871267538</v>
      </c>
      <c r="E18" s="12" t="n">
        <v>1.69962153022263</v>
      </c>
      <c r="F18" s="11" t="s">
        <v>717</v>
      </c>
      <c r="G18" s="12" t="n">
        <v>1.34063859906674</v>
      </c>
      <c r="H18" s="27" t="s">
        <v>728</v>
      </c>
      <c r="I18" s="17" t="n">
        <f aca="false">D18*E18*G18</f>
        <v>3.75222297662463</v>
      </c>
      <c r="J18" s="15" t="n">
        <v>3.75222297662462</v>
      </c>
      <c r="K18" s="7" t="s">
        <v>148</v>
      </c>
      <c r="L18" s="3" t="s">
        <v>476</v>
      </c>
    </row>
    <row r="19" customFormat="false" ht="30" hidden="false" customHeight="true" outlineLevel="0" collapsed="false">
      <c r="A19" s="10" t="n">
        <v>15</v>
      </c>
      <c r="B19" s="10" t="s">
        <v>111</v>
      </c>
      <c r="C19" s="10" t="s">
        <v>106</v>
      </c>
      <c r="D19" s="15" t="n">
        <v>542.216118727652</v>
      </c>
      <c r="E19" s="12" t="n">
        <v>1.70223659391</v>
      </c>
      <c r="F19" s="11" t="s">
        <v>730</v>
      </c>
      <c r="G19" s="12" t="n">
        <v>1.34063859906674</v>
      </c>
      <c r="H19" s="27" t="s">
        <v>728</v>
      </c>
      <c r="I19" s="17" t="n">
        <f aca="false">D19*E19*G19</f>
        <v>1237.3827738448</v>
      </c>
      <c r="J19" s="15" t="n">
        <v>1070.00876812882</v>
      </c>
      <c r="K19" s="23" t="s">
        <v>145</v>
      </c>
      <c r="L19" s="3" t="s">
        <v>476</v>
      </c>
    </row>
    <row r="20" customFormat="false" ht="30" hidden="false" customHeight="true" outlineLevel="0" collapsed="false">
      <c r="A20" s="10" t="n">
        <v>16</v>
      </c>
      <c r="B20" s="10" t="s">
        <v>112</v>
      </c>
      <c r="C20" s="10" t="s">
        <v>106</v>
      </c>
      <c r="D20" s="15" t="n">
        <v>72.8271508579598</v>
      </c>
      <c r="E20" s="12" t="n">
        <v>0.905552617662612</v>
      </c>
      <c r="F20" s="11" t="s">
        <v>731</v>
      </c>
      <c r="G20" s="12" t="n">
        <v>1.34063859906674</v>
      </c>
      <c r="H20" s="27" t="s">
        <v>728</v>
      </c>
      <c r="I20" s="17" t="n">
        <f aca="false">D20*E20*G20</f>
        <v>88.4135297621401</v>
      </c>
      <c r="J20" s="15" t="n">
        <v>88.4135297621401</v>
      </c>
      <c r="K20" s="7" t="s">
        <v>148</v>
      </c>
      <c r="L20" s="3" t="s">
        <v>476</v>
      </c>
    </row>
    <row r="21" customFormat="false" ht="30" hidden="false" customHeight="true" outlineLevel="0" collapsed="false">
      <c r="A21" s="10" t="n">
        <v>17</v>
      </c>
      <c r="B21" s="10" t="s">
        <v>113</v>
      </c>
      <c r="C21" s="10" t="s">
        <v>106</v>
      </c>
      <c r="D21" s="15" t="n">
        <v>21.2170777277859</v>
      </c>
      <c r="E21" s="12" t="n">
        <v>1.20457224588592</v>
      </c>
      <c r="F21" s="11" t="s">
        <v>732</v>
      </c>
      <c r="G21" s="12" t="n">
        <v>1.34063859906674</v>
      </c>
      <c r="H21" s="27" t="s">
        <v>728</v>
      </c>
      <c r="I21" s="17" t="n">
        <f aca="false">D21*E21*G21</f>
        <v>34.2633749769363</v>
      </c>
      <c r="J21" s="15" t="n">
        <v>34.2633749769363</v>
      </c>
      <c r="K21" s="7" t="s">
        <v>148</v>
      </c>
      <c r="L21" s="7" t="s">
        <v>716</v>
      </c>
    </row>
    <row r="22" customFormat="false" ht="30" hidden="false" customHeight="true" outlineLevel="0" collapsed="false">
      <c r="A22" s="10" t="n">
        <v>18</v>
      </c>
      <c r="B22" s="10" t="s">
        <v>114</v>
      </c>
      <c r="C22" s="10" t="s">
        <v>106</v>
      </c>
      <c r="D22" s="15" t="n">
        <v>16.6046695260933</v>
      </c>
      <c r="E22" s="12" t="n">
        <v>0.950096861681519</v>
      </c>
      <c r="F22" s="11" t="s">
        <v>721</v>
      </c>
      <c r="G22" s="12" t="n">
        <v>1.34063859906674</v>
      </c>
      <c r="H22" s="27" t="s">
        <v>728</v>
      </c>
      <c r="I22" s="17" t="n">
        <f aca="false">D22*E22*G22</f>
        <v>21.1499740712746</v>
      </c>
      <c r="J22" s="15" t="n">
        <v>21.1499740712746</v>
      </c>
      <c r="K22" s="7" t="s">
        <v>148</v>
      </c>
      <c r="L22" s="3" t="s">
        <v>476</v>
      </c>
    </row>
    <row r="23" customFormat="false" ht="30" hidden="false" customHeight="true" outlineLevel="0" collapsed="false">
      <c r="A23" s="10" t="n">
        <v>19</v>
      </c>
      <c r="B23" s="10" t="s">
        <v>115</v>
      </c>
      <c r="C23" s="10" t="s">
        <v>116</v>
      </c>
      <c r="D23" s="15" t="n">
        <v>5.1086322468111</v>
      </c>
      <c r="E23" s="12" t="n">
        <v>0.825939366258412</v>
      </c>
      <c r="F23" s="11" t="s">
        <v>733</v>
      </c>
      <c r="G23" s="12" t="n">
        <v>1.24266243533771</v>
      </c>
      <c r="H23" s="27" t="s">
        <v>734</v>
      </c>
      <c r="I23" s="17" t="n">
        <f aca="false">D23*E23*G23</f>
        <v>5.24331532986089</v>
      </c>
      <c r="J23" s="15" t="n">
        <v>5.2433153298609</v>
      </c>
      <c r="K23" s="3" t="s">
        <v>160</v>
      </c>
      <c r="L23" s="7" t="s">
        <v>716</v>
      </c>
    </row>
    <row r="24" customFormat="false" ht="30" hidden="false" customHeight="true" outlineLevel="0" collapsed="false">
      <c r="A24" s="10" t="n">
        <v>20</v>
      </c>
      <c r="B24" s="10" t="s">
        <v>117</v>
      </c>
      <c r="C24" s="10" t="s">
        <v>116</v>
      </c>
      <c r="D24" s="15" t="n">
        <v>147.009356268728</v>
      </c>
      <c r="E24" s="12" t="n">
        <v>0.905552617662612</v>
      </c>
      <c r="F24" s="11" t="s">
        <v>731</v>
      </c>
      <c r="G24" s="12" t="n">
        <v>1.60296468257488</v>
      </c>
      <c r="H24" s="27" t="s">
        <v>735</v>
      </c>
      <c r="I24" s="17" t="n">
        <f aca="false">D24*E24*G24</f>
        <v>213.394204324353</v>
      </c>
      <c r="J24" s="15" t="n">
        <v>213.394204324353</v>
      </c>
      <c r="K24" s="3" t="s">
        <v>160</v>
      </c>
      <c r="L24" s="3" t="s">
        <v>476</v>
      </c>
    </row>
    <row r="25" customFormat="false" ht="30" hidden="false" customHeight="true" outlineLevel="0" collapsed="false">
      <c r="A25" s="10" t="n">
        <v>21</v>
      </c>
      <c r="B25" s="10" t="s">
        <v>118</v>
      </c>
      <c r="C25" s="10" t="s">
        <v>116</v>
      </c>
      <c r="D25" s="15" t="n">
        <v>20.0140054797051</v>
      </c>
      <c r="E25" s="12" t="n">
        <v>0.609916358608393</v>
      </c>
      <c r="F25" s="11" t="s">
        <v>736</v>
      </c>
      <c r="G25" s="12" t="n">
        <v>2.21144476344123</v>
      </c>
      <c r="H25" s="27" t="s">
        <v>737</v>
      </c>
      <c r="I25" s="17" t="n">
        <f aca="false">D25*E25*G25</f>
        <v>26.994817287363</v>
      </c>
      <c r="J25" s="15" t="n">
        <v>26.994817287363</v>
      </c>
      <c r="K25" s="7" t="s">
        <v>148</v>
      </c>
      <c r="L25" s="7" t="s">
        <v>716</v>
      </c>
    </row>
    <row r="26" customFormat="false" ht="30" hidden="false" customHeight="true" outlineLevel="0" collapsed="false">
      <c r="A26" s="10" t="n">
        <v>22</v>
      </c>
      <c r="B26" s="10" t="s">
        <v>119</v>
      </c>
      <c r="C26" s="10" t="s">
        <v>116</v>
      </c>
      <c r="D26" s="15" t="n">
        <v>54.7830946052385</v>
      </c>
      <c r="E26" s="12" t="n">
        <v>1.01399844005178</v>
      </c>
      <c r="F26" s="11" t="s">
        <v>738</v>
      </c>
      <c r="G26" s="12" t="n">
        <v>1.49860593689155</v>
      </c>
      <c r="H26" s="27" t="s">
        <v>739</v>
      </c>
      <c r="I26" s="17" t="n">
        <f aca="false">D26*E26*G26</f>
        <v>83.247518539084</v>
      </c>
      <c r="J26" s="15" t="n">
        <v>83.2475185390841</v>
      </c>
      <c r="K26" s="23" t="s">
        <v>145</v>
      </c>
      <c r="L26" s="3" t="s">
        <v>476</v>
      </c>
    </row>
    <row r="27" customFormat="false" ht="30" hidden="false" customHeight="true" outlineLevel="0" collapsed="false">
      <c r="A27" s="10" t="n">
        <v>23</v>
      </c>
      <c r="B27" s="10" t="s">
        <v>120</v>
      </c>
      <c r="C27" s="10" t="s">
        <v>116</v>
      </c>
      <c r="D27" s="15" t="n">
        <v>2.08308726402862</v>
      </c>
      <c r="E27" s="12" t="n">
        <v>1.01399844005178</v>
      </c>
      <c r="F27" s="11" t="s">
        <v>738</v>
      </c>
      <c r="G27" s="12" t="n">
        <v>1.41523969115653</v>
      </c>
      <c r="H27" s="27" t="s">
        <v>740</v>
      </c>
      <c r="I27" s="17" t="n">
        <f aca="false">D27*E27*G27</f>
        <v>2.98933612622964</v>
      </c>
      <c r="J27" s="15" t="n">
        <v>2.98933612622964</v>
      </c>
      <c r="K27" s="23" t="s">
        <v>145</v>
      </c>
      <c r="L27" s="3" t="s">
        <v>476</v>
      </c>
    </row>
    <row r="28" customFormat="false" ht="30" hidden="false" customHeight="true" outlineLevel="0" collapsed="false">
      <c r="A28" s="10" t="n">
        <v>24</v>
      </c>
      <c r="B28" s="10" t="s">
        <v>121</v>
      </c>
      <c r="C28" s="10" t="s">
        <v>116</v>
      </c>
      <c r="D28" s="15" t="n">
        <v>124.734509429279</v>
      </c>
      <c r="E28" s="12" t="n">
        <v>1.15581395348837</v>
      </c>
      <c r="F28" s="11" t="s">
        <v>741</v>
      </c>
      <c r="G28" s="12" t="n">
        <v>1.24266243533771</v>
      </c>
      <c r="H28" s="27" t="s">
        <v>734</v>
      </c>
      <c r="I28" s="17" t="n">
        <f aca="false">D28*E28*G28</f>
        <v>179.154502235458</v>
      </c>
      <c r="J28" s="15" t="n">
        <v>190.63752175272</v>
      </c>
      <c r="K28" s="7" t="s">
        <v>148</v>
      </c>
      <c r="L28" s="7" t="s">
        <v>716</v>
      </c>
    </row>
    <row r="29" customFormat="false" ht="30" hidden="false" customHeight="true" outlineLevel="0" collapsed="false">
      <c r="A29" s="10" t="n">
        <v>25</v>
      </c>
      <c r="B29" s="10" t="s">
        <v>122</v>
      </c>
      <c r="C29" s="10" t="s">
        <v>116</v>
      </c>
      <c r="D29" s="15" t="n">
        <v>26.6143849783368</v>
      </c>
      <c r="E29" s="12" t="n">
        <v>1.01652271873827</v>
      </c>
      <c r="F29" s="11" t="s">
        <v>742</v>
      </c>
      <c r="G29" s="12" t="n">
        <v>1.45125208562474</v>
      </c>
      <c r="H29" s="27" t="s">
        <v>743</v>
      </c>
      <c r="I29" s="17" t="n">
        <f aca="false">D29*E29*G29</f>
        <v>39.2623581982785</v>
      </c>
      <c r="J29" s="15" t="n">
        <v>39.2623581982786</v>
      </c>
      <c r="K29" s="3" t="s">
        <v>160</v>
      </c>
      <c r="L29" s="7" t="s">
        <v>716</v>
      </c>
    </row>
    <row r="30" customFormat="false" ht="30" hidden="false" customHeight="true" outlineLevel="0" collapsed="false">
      <c r="A30" s="10" t="n">
        <v>26</v>
      </c>
      <c r="B30" s="10" t="s">
        <v>123</v>
      </c>
      <c r="C30" s="10" t="s">
        <v>116</v>
      </c>
      <c r="D30" s="15" t="n">
        <v>3.41640923048272</v>
      </c>
      <c r="E30" s="12" t="n">
        <v>0.950096861681519</v>
      </c>
      <c r="F30" s="11" t="s">
        <v>721</v>
      </c>
      <c r="G30" s="12" t="n">
        <v>1.29800918836141</v>
      </c>
      <c r="H30" s="27" t="s">
        <v>744</v>
      </c>
      <c r="I30" s="17" t="n">
        <f aca="false">D30*E30*G30</f>
        <v>4.21323357983882</v>
      </c>
      <c r="J30" s="15" t="n">
        <v>4.21323357983882</v>
      </c>
      <c r="K30" s="3" t="s">
        <v>160</v>
      </c>
      <c r="L30" s="3" t="s">
        <v>476</v>
      </c>
    </row>
    <row r="32" customFormat="false" ht="15" hidden="false" customHeight="false" outlineLevel="0" collapsed="false">
      <c r="B32" s="16" t="s">
        <v>231</v>
      </c>
      <c r="D32" s="30" t="n">
        <f aca="false">SUMIF($C$5:$C$30,"Healthcare",D$5:D$30)</f>
        <v>245.282645782038</v>
      </c>
      <c r="I32" s="30" t="n">
        <f aca="false">SUMIF($C$5:$C$30,"Healthcare",I$5:I$30)</f>
        <v>397.936072693866</v>
      </c>
      <c r="J32" s="30" t="n">
        <f aca="false">SUMIF($C$5:$C$30,"Healthcare",J$5:J$30)</f>
        <v>390.771609668467</v>
      </c>
    </row>
    <row r="33" customFormat="false" ht="15" hidden="false" customHeight="false" outlineLevel="0" collapsed="false">
      <c r="B33" s="16" t="s">
        <v>232</v>
      </c>
      <c r="D33" s="30" t="n">
        <f aca="false">SUMIF($C$5:$C$30,"Lost productivity",D$5:D$30)</f>
        <v>1304.55387471535</v>
      </c>
      <c r="I33" s="30" t="n">
        <f aca="false">SUMIF($C$5:$C$30,"Lost productivity",I$5:I$30)</f>
        <v>2613.19911884304</v>
      </c>
      <c r="J33" s="30" t="n">
        <f aca="false">SUMIF($C$5:$C$30,"Lost productivity",J$5:J$30)</f>
        <v>2295.05511052729</v>
      </c>
    </row>
    <row r="34" customFormat="false" ht="15" hidden="false" customHeight="false" outlineLevel="0" collapsed="false">
      <c r="B34" s="16" t="s">
        <v>233</v>
      </c>
      <c r="D34" s="30" t="n">
        <f aca="false">SUMIF($C$5:$C$30,"Other",D$5:D$30)</f>
        <v>383.76347950261</v>
      </c>
      <c r="I34" s="30" t="n">
        <f aca="false">SUMIF($C$5:$C$30,"Other",I$5:I$30)</f>
        <v>554.499285620465</v>
      </c>
      <c r="J34" s="30" t="n">
        <f aca="false">SUMIF($C$5:$C$30,"Other",J$5:J$30)</f>
        <v>565.982305137727</v>
      </c>
    </row>
    <row r="35" customFormat="false" ht="15" hidden="false" customHeight="false" outlineLevel="0" collapsed="false">
      <c r="B35" s="5" t="s">
        <v>745</v>
      </c>
      <c r="D35" s="31" t="n">
        <f aca="false">SUM(D5:D30)</f>
        <v>1933.6</v>
      </c>
      <c r="I35" s="31" t="n">
        <f aca="false">SUM(I5:I30)</f>
        <v>3565.63447715737</v>
      </c>
      <c r="J35" s="31" t="n">
        <f aca="false">SUM(J5:J30)</f>
        <v>3251.80902533348</v>
      </c>
    </row>
    <row r="37" customFormat="false" ht="15" hidden="false" customHeight="false" outlineLevel="0" collapsed="false">
      <c r="B37" s="3" t="s">
        <v>746</v>
      </c>
      <c r="D37" s="24" t="str">
        <f aca="false">IF(ABS(D35-1933.6)&lt;0.05,"PASS","FAIL")</f>
        <v>PASS</v>
      </c>
    </row>
    <row r="38" customFormat="false" ht="15" hidden="false" customHeight="false" outlineLevel="0" collapsed="false">
      <c r="B38" s="3" t="s">
        <v>747</v>
      </c>
      <c r="D38" s="51" t="str">
        <f aca="false">COUNTIF(L5:L30,"Iowa")&amp;" of 26"</f>
        <v>16 of 26</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3" min="2" style="0" width="20"/>
    <col collapsed="false" customWidth="true" hidden="false" outlineLevel="0" max="4" min="4" style="0" width="14"/>
  </cols>
  <sheetData>
    <row r="1" customFormat="false" ht="25.5" hidden="false" customHeight="true" outlineLevel="0" collapsed="false">
      <c r="A1" s="1" t="s">
        <v>748</v>
      </c>
      <c r="B1" s="1"/>
      <c r="C1" s="1"/>
      <c r="D1" s="1"/>
      <c r="E1" s="1"/>
      <c r="F1" s="1"/>
      <c r="G1" s="1"/>
      <c r="H1" s="1"/>
      <c r="I1" s="1"/>
      <c r="J1" s="1"/>
      <c r="K1" s="1"/>
      <c r="L1" s="1"/>
      <c r="M1" s="1"/>
      <c r="N1" s="1"/>
    </row>
    <row r="2" customFormat="false" ht="15" hidden="false" customHeight="false" outlineLevel="0" collapsed="false">
      <c r="A2" s="2" t="s">
        <v>749</v>
      </c>
      <c r="B2" s="2"/>
      <c r="C2" s="2"/>
      <c r="D2" s="2"/>
      <c r="E2" s="2"/>
      <c r="F2" s="2"/>
      <c r="G2" s="2"/>
      <c r="H2" s="2"/>
      <c r="I2" s="2"/>
      <c r="J2" s="2"/>
      <c r="K2" s="2"/>
      <c r="L2" s="2"/>
      <c r="M2" s="2"/>
      <c r="N2" s="2"/>
    </row>
    <row r="4" customFormat="false" ht="30" hidden="false" customHeight="true" outlineLevel="0" collapsed="false">
      <c r="A4" s="8" t="s">
        <v>532</v>
      </c>
      <c r="B4" s="8" t="s">
        <v>533</v>
      </c>
      <c r="C4" s="8" t="s">
        <v>240</v>
      </c>
      <c r="D4" s="8" t="s">
        <v>535</v>
      </c>
    </row>
    <row r="5" customFormat="false" ht="25.5" hidden="false" customHeight="true" outlineLevel="0" collapsed="false">
      <c r="A5" s="3" t="s">
        <v>750</v>
      </c>
      <c r="B5" s="17" t="n">
        <v>3565.63447715737</v>
      </c>
      <c r="C5" s="17" t="n">
        <v>1558.4372084409</v>
      </c>
      <c r="D5" s="20" t="n">
        <v>2.52243480278625</v>
      </c>
    </row>
    <row r="6" customFormat="false" ht="25.5" hidden="false" customHeight="true" outlineLevel="0" collapsed="false">
      <c r="A6" s="3" t="s">
        <v>538</v>
      </c>
      <c r="B6" s="17" t="n">
        <v>3251.80902533348</v>
      </c>
      <c r="C6" s="17" t="n">
        <v>1439.85439621607</v>
      </c>
      <c r="D6" s="20" t="n">
        <v>2.3004254390245</v>
      </c>
    </row>
    <row r="7" customFormat="false" ht="25.5" hidden="false" customHeight="true" outlineLevel="0" collapsed="false">
      <c r="A7" s="3" t="s">
        <v>539</v>
      </c>
      <c r="B7" s="17" t="n">
        <v>2905.99468654459</v>
      </c>
      <c r="C7" s="17" t="n">
        <v>1301.10899339621</v>
      </c>
      <c r="D7" s="20" t="n">
        <v>2.0557861948586</v>
      </c>
    </row>
    <row r="8" customFormat="false" ht="25.5" hidden="false" customHeight="true" outlineLevel="0" collapsed="false">
      <c r="A8" s="3" t="s">
        <v>540</v>
      </c>
      <c r="B8" s="17" t="n">
        <v>4063.73634854251</v>
      </c>
      <c r="C8" s="17" t="n">
        <v>1747.46899168592</v>
      </c>
      <c r="D8" s="20" t="n">
        <v>2.87480673091404</v>
      </c>
    </row>
    <row r="9" customFormat="false" ht="25.5" hidden="false" customHeight="true" outlineLevel="0" collapsed="false">
      <c r="A9" s="10" t="s">
        <v>751</v>
      </c>
      <c r="B9" s="17" t="n">
        <v>3598.83554065169</v>
      </c>
      <c r="C9" s="17" t="n">
        <v>1570.43220477928</v>
      </c>
      <c r="D9" s="20" t="n">
        <v>2.54592221255417</v>
      </c>
    </row>
    <row r="10" customFormat="false" ht="25.5" hidden="false" customHeight="true" outlineLevel="0" collapsed="false">
      <c r="A10" s="45" t="s">
        <v>541</v>
      </c>
      <c r="B10" s="36" t="n">
        <v>27303.9824711256</v>
      </c>
      <c r="C10" s="36" t="n">
        <v>1558.4372084409</v>
      </c>
      <c r="D10" s="46" t="n">
        <v>19.3156410397794</v>
      </c>
    </row>
    <row r="11" customFormat="false" ht="25.5" hidden="false" customHeight="true" outlineLevel="0" collapsed="false">
      <c r="A11" s="10" t="s">
        <v>752</v>
      </c>
      <c r="B11" s="17" t="n">
        <v>3570.05425189572</v>
      </c>
      <c r="C11" s="17" t="n">
        <v>1562.70377499063</v>
      </c>
      <c r="D11" s="20" t="n">
        <v>2.52556148155603</v>
      </c>
    </row>
    <row r="12" customFormat="false" ht="25.5" hidden="false" customHeight="true" outlineLevel="0" collapsed="false">
      <c r="A12" s="10" t="s">
        <v>753</v>
      </c>
      <c r="B12" s="17" t="n">
        <v>3561.21470241902</v>
      </c>
      <c r="C12" s="17" t="n">
        <v>1554.17064189116</v>
      </c>
      <c r="D12" s="20" t="n">
        <v>2.51930812401648</v>
      </c>
    </row>
    <row r="14" customFormat="false" ht="15" hidden="false" customHeight="false" outlineLevel="0" collapsed="false">
      <c r="A14" s="16" t="s">
        <v>754</v>
      </c>
    </row>
    <row r="15" customFormat="false" ht="30" hidden="false" customHeight="true" outlineLevel="0" collapsed="false">
      <c r="A15" s="8" t="s">
        <v>549</v>
      </c>
      <c r="B15" s="8" t="s">
        <v>533</v>
      </c>
      <c r="C15" s="8" t="s">
        <v>755</v>
      </c>
    </row>
    <row r="16" customFormat="false" ht="15" hidden="false" customHeight="false" outlineLevel="0" collapsed="false">
      <c r="A16" s="3" t="s">
        <v>756</v>
      </c>
      <c r="B16" s="15" t="n">
        <v>1933.6</v>
      </c>
      <c r="C16" s="19" t="n">
        <f aca="false">B16/1933.6-1</f>
        <v>0</v>
      </c>
    </row>
    <row r="17" customFormat="false" ht="15" hidden="false" customHeight="false" outlineLevel="0" collapsed="false">
      <c r="A17" s="3" t="s">
        <v>554</v>
      </c>
      <c r="B17" s="15" t="n">
        <v>2402.812084969</v>
      </c>
      <c r="C17" s="19" t="n">
        <f aca="false">B17/1933.6-1</f>
        <v>0.242662435337712</v>
      </c>
    </row>
    <row r="18" customFormat="false" ht="15" hidden="false" customHeight="false" outlineLevel="0" collapsed="false">
      <c r="A18" s="3" t="s">
        <v>757</v>
      </c>
      <c r="B18" s="15" t="n">
        <v>2642.04594748752</v>
      </c>
      <c r="C18" s="19" t="n">
        <f aca="false">B18/1933.6-1</f>
        <v>0.366387022904181</v>
      </c>
    </row>
    <row r="19" customFormat="false" ht="15" hidden="false" customHeight="false" outlineLevel="0" collapsed="false">
      <c r="A19" s="3" t="s">
        <v>758</v>
      </c>
      <c r="B19" s="15" t="n">
        <v>2634.24511326351</v>
      </c>
      <c r="C19" s="19" t="n">
        <f aca="false">B19/1933.6-1</f>
        <v>0.362352665113525</v>
      </c>
    </row>
    <row r="20" customFormat="false" ht="15" hidden="false" customHeight="false" outlineLevel="0" collapsed="false">
      <c r="A20" s="3" t="s">
        <v>759</v>
      </c>
      <c r="B20" s="15" t="n">
        <v>3565.63447715737</v>
      </c>
      <c r="C20" s="19" t="n">
        <f aca="false">B20/1933.6-1</f>
        <v>0.844039344826939</v>
      </c>
    </row>
    <row r="21" customFormat="false" ht="15" hidden="false" customHeight="false" outlineLevel="0" collapsed="false">
      <c r="A21" s="3" t="s">
        <v>760</v>
      </c>
      <c r="B21" s="15" t="n">
        <v>3251.80902533348</v>
      </c>
      <c r="C21" s="19" t="n">
        <f aca="false">B21/1933.6-1</f>
        <v>0.68173822162468</v>
      </c>
    </row>
    <row r="22" customFormat="false" ht="15" hidden="false" customHeight="false" outlineLevel="0" collapsed="false">
      <c r="A22" s="3" t="s">
        <v>761</v>
      </c>
      <c r="B22" s="15" t="n">
        <v>313.82545182389</v>
      </c>
      <c r="C22" s="19" t="n">
        <f aca="false">B22/1933.6-1</f>
        <v>-0.83769887679774</v>
      </c>
    </row>
    <row r="24" customFormat="false" ht="15" hidden="false" customHeight="false" outlineLevel="0" collapsed="false">
      <c r="A24" s="23" t="s">
        <v>762</v>
      </c>
    </row>
    <row r="25" customFormat="false" ht="30" hidden="false" customHeight="true" outlineLevel="0" collapsed="false">
      <c r="A25" s="8" t="s">
        <v>383</v>
      </c>
      <c r="B25" s="8" t="s">
        <v>709</v>
      </c>
      <c r="C25" s="8" t="s">
        <v>763</v>
      </c>
      <c r="D25" s="8" t="s">
        <v>764</v>
      </c>
    </row>
    <row r="26" customFormat="false" ht="15" hidden="false" customHeight="false" outlineLevel="0" collapsed="false">
      <c r="A26" s="3" t="s">
        <v>388</v>
      </c>
      <c r="B26" s="15" t="n">
        <v>1491.79948267684</v>
      </c>
      <c r="C26" s="15" t="n">
        <v>2769.98753651812</v>
      </c>
      <c r="D26" s="32" t="n">
        <v>0.776856841121424</v>
      </c>
    </row>
    <row r="27" customFormat="false" ht="15" hidden="false" customHeight="false" outlineLevel="0" collapsed="false">
      <c r="A27" s="3" t="s">
        <v>390</v>
      </c>
      <c r="B27" s="15" t="n">
        <v>190.975660164562</v>
      </c>
      <c r="C27" s="15" t="n">
        <v>275.538111470916</v>
      </c>
      <c r="D27" s="32" t="n">
        <v>0.0772760397163827</v>
      </c>
    </row>
    <row r="28" customFormat="false" ht="15" hidden="false" customHeight="false" outlineLevel="0" collapsed="false">
      <c r="A28" s="3" t="s">
        <v>392</v>
      </c>
      <c r="B28" s="15" t="n">
        <v>47.3664083421685</v>
      </c>
      <c r="C28" s="15" t="n">
        <v>60.4787299625704</v>
      </c>
      <c r="D28" s="32" t="n">
        <v>0.0169615619183674</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24"/>
    <col collapsed="false" customWidth="true" hidden="false" outlineLevel="0" max="3" min="3" style="0" width="12"/>
    <col collapsed="false" customWidth="true" hidden="false" outlineLevel="0" max="4" min="4" style="0" width="24"/>
    <col collapsed="false" customWidth="true" hidden="false" outlineLevel="0" max="5" min="5" style="0" width="12"/>
    <col collapsed="false" customWidth="true" hidden="false" outlineLevel="0" max="6" min="6" style="0" width="46"/>
  </cols>
  <sheetData>
    <row r="1" customFormat="false" ht="25.5" hidden="false" customHeight="true" outlineLevel="0" collapsed="false">
      <c r="A1" s="1" t="s">
        <v>765</v>
      </c>
      <c r="B1" s="1"/>
      <c r="C1" s="1"/>
      <c r="D1" s="1"/>
      <c r="E1" s="1"/>
      <c r="F1" s="1"/>
      <c r="G1" s="1"/>
      <c r="H1" s="1"/>
      <c r="I1" s="1"/>
      <c r="J1" s="1"/>
      <c r="K1" s="1"/>
      <c r="L1" s="1"/>
      <c r="M1" s="1"/>
      <c r="N1" s="1"/>
    </row>
    <row r="2" customFormat="false" ht="15" hidden="false" customHeight="false" outlineLevel="0" collapsed="false">
      <c r="A2" s="2" t="s">
        <v>766</v>
      </c>
      <c r="B2" s="2"/>
      <c r="C2" s="2"/>
      <c r="D2" s="2"/>
      <c r="E2" s="2"/>
      <c r="F2" s="2"/>
      <c r="G2" s="2"/>
      <c r="H2" s="2"/>
      <c r="I2" s="2"/>
      <c r="J2" s="2"/>
      <c r="K2" s="2"/>
      <c r="L2" s="2"/>
      <c r="M2" s="2"/>
      <c r="N2" s="2"/>
    </row>
    <row r="4" customFormat="false" ht="30" hidden="false" customHeight="true" outlineLevel="0" collapsed="false">
      <c r="A4" s="8" t="s">
        <v>91</v>
      </c>
      <c r="B4" s="8" t="s">
        <v>767</v>
      </c>
      <c r="C4" s="8" t="s">
        <v>571</v>
      </c>
      <c r="D4" s="8" t="s">
        <v>572</v>
      </c>
    </row>
    <row r="5" customFormat="false" ht="33.75" hidden="false" customHeight="true" outlineLevel="0" collapsed="false">
      <c r="A5" s="10" t="n">
        <v>1</v>
      </c>
      <c r="B5" s="10" t="s">
        <v>768</v>
      </c>
      <c r="C5" s="24" t="s">
        <v>574</v>
      </c>
      <c r="D5" s="11" t="s">
        <v>769</v>
      </c>
    </row>
    <row r="6" customFormat="false" ht="33.75" hidden="false" customHeight="true" outlineLevel="0" collapsed="false">
      <c r="A6" s="10" t="n">
        <v>2</v>
      </c>
      <c r="B6" s="10" t="s">
        <v>770</v>
      </c>
      <c r="C6" s="24" t="s">
        <v>574</v>
      </c>
      <c r="D6" s="11" t="s">
        <v>771</v>
      </c>
    </row>
    <row r="7" customFormat="false" ht="33.75" hidden="false" customHeight="true" outlineLevel="0" collapsed="false">
      <c r="A7" s="10" t="n">
        <v>3</v>
      </c>
      <c r="B7" s="10" t="s">
        <v>772</v>
      </c>
      <c r="C7" s="24" t="s">
        <v>574</v>
      </c>
      <c r="D7" s="11" t="s">
        <v>773</v>
      </c>
    </row>
    <row r="8" customFormat="false" ht="33.75" hidden="false" customHeight="true" outlineLevel="0" collapsed="false">
      <c r="A8" s="10" t="n">
        <v>4</v>
      </c>
      <c r="B8" s="10" t="s">
        <v>774</v>
      </c>
      <c r="C8" s="24" t="s">
        <v>574</v>
      </c>
      <c r="D8" s="11" t="s">
        <v>775</v>
      </c>
    </row>
    <row r="9" customFormat="false" ht="33.75" hidden="false" customHeight="true" outlineLevel="0" collapsed="false">
      <c r="A9" s="10" t="n">
        <v>5</v>
      </c>
      <c r="B9" s="10" t="s">
        <v>776</v>
      </c>
      <c r="C9" s="24" t="s">
        <v>574</v>
      </c>
      <c r="D9" s="11" t="s">
        <v>777</v>
      </c>
    </row>
    <row r="10" customFormat="false" ht="33.75" hidden="false" customHeight="true" outlineLevel="0" collapsed="false">
      <c r="A10" s="10" t="n">
        <v>6</v>
      </c>
      <c r="B10" s="10" t="s">
        <v>778</v>
      </c>
      <c r="C10" s="24" t="s">
        <v>574</v>
      </c>
      <c r="D10" s="11" t="s">
        <v>779</v>
      </c>
    </row>
    <row r="11" customFormat="false" ht="33.75" hidden="false" customHeight="true" outlineLevel="0" collapsed="false">
      <c r="A11" s="10" t="n">
        <v>7</v>
      </c>
      <c r="B11" s="10" t="s">
        <v>780</v>
      </c>
      <c r="C11" s="24" t="s">
        <v>574</v>
      </c>
      <c r="D11" s="11" t="s">
        <v>781</v>
      </c>
    </row>
    <row r="12" customFormat="false" ht="33.75" hidden="false" customHeight="true" outlineLevel="0" collapsed="false">
      <c r="A12" s="10" t="n">
        <v>8</v>
      </c>
      <c r="B12" s="10" t="s">
        <v>782</v>
      </c>
      <c r="C12" s="24" t="s">
        <v>574</v>
      </c>
      <c r="D12" s="11"/>
    </row>
    <row r="13" customFormat="false" ht="33.75" hidden="false" customHeight="true" outlineLevel="0" collapsed="false">
      <c r="A13" s="10" t="n">
        <v>9</v>
      </c>
      <c r="B13" s="10" t="s">
        <v>783</v>
      </c>
      <c r="C13" s="24" t="s">
        <v>574</v>
      </c>
      <c r="D13" s="11" t="s">
        <v>784</v>
      </c>
    </row>
    <row r="14" customFormat="false" ht="33.75" hidden="false" customHeight="true" outlineLevel="0" collapsed="false">
      <c r="A14" s="10" t="n">
        <v>10</v>
      </c>
      <c r="B14" s="10" t="s">
        <v>785</v>
      </c>
      <c r="C14" s="24" t="s">
        <v>574</v>
      </c>
      <c r="D14" s="11"/>
    </row>
    <row r="15" customFormat="false" ht="33.75" hidden="false" customHeight="true" outlineLevel="0" collapsed="false">
      <c r="A15" s="10" t="n">
        <v>11</v>
      </c>
      <c r="B15" s="10" t="s">
        <v>786</v>
      </c>
      <c r="C15" s="24" t="s">
        <v>574</v>
      </c>
      <c r="D15" s="11" t="s">
        <v>787</v>
      </c>
    </row>
    <row r="16" customFormat="false" ht="33.75" hidden="false" customHeight="true" outlineLevel="0" collapsed="false">
      <c r="A16" s="10" t="n">
        <v>12</v>
      </c>
      <c r="B16" s="10" t="s">
        <v>788</v>
      </c>
      <c r="C16" s="24" t="s">
        <v>574</v>
      </c>
      <c r="D16" s="11" t="s">
        <v>789</v>
      </c>
    </row>
    <row r="17" customFormat="false" ht="33.75" hidden="false" customHeight="true" outlineLevel="0" collapsed="false">
      <c r="A17" s="10" t="n">
        <v>13</v>
      </c>
      <c r="B17" s="10" t="s">
        <v>790</v>
      </c>
      <c r="C17" s="24" t="s">
        <v>574</v>
      </c>
      <c r="D17" s="11" t="s">
        <v>791</v>
      </c>
    </row>
    <row r="18" customFormat="false" ht="33.75" hidden="false" customHeight="true" outlineLevel="0" collapsed="false">
      <c r="A18" s="10" t="n">
        <v>14</v>
      </c>
      <c r="B18" s="10" t="s">
        <v>792</v>
      </c>
      <c r="C18" s="24" t="s">
        <v>574</v>
      </c>
      <c r="D18" s="11" t="s">
        <v>793</v>
      </c>
    </row>
    <row r="19" customFormat="false" ht="33.75" hidden="false" customHeight="true" outlineLevel="0" collapsed="false">
      <c r="A19" s="10" t="n">
        <v>15</v>
      </c>
      <c r="B19" s="10" t="s">
        <v>794</v>
      </c>
      <c r="C19" s="24" t="s">
        <v>574</v>
      </c>
      <c r="D19" s="11" t="s">
        <v>795</v>
      </c>
    </row>
    <row r="20" customFormat="false" ht="33.75" hidden="false" customHeight="true" outlineLevel="0" collapsed="false">
      <c r="A20" s="10" t="n">
        <v>16</v>
      </c>
      <c r="B20" s="10" t="s">
        <v>796</v>
      </c>
      <c r="C20" s="24" t="s">
        <v>574</v>
      </c>
      <c r="D20" s="11"/>
    </row>
    <row r="21" customFormat="false" ht="33.75" hidden="false" customHeight="true" outlineLevel="0" collapsed="false">
      <c r="A21" s="10" t="n">
        <v>17</v>
      </c>
      <c r="B21" s="10" t="s">
        <v>797</v>
      </c>
      <c r="C21" s="24" t="s">
        <v>574</v>
      </c>
      <c r="D21" s="11" t="s">
        <v>798</v>
      </c>
    </row>
    <row r="24" customFormat="false" ht="15" hidden="false" customHeight="false" outlineLevel="0" collapsed="false">
      <c r="B24" s="16" t="s">
        <v>799</v>
      </c>
    </row>
    <row r="25" customFormat="false" ht="30" hidden="false" customHeight="true" outlineLevel="0" collapsed="false">
      <c r="A25" s="8" t="s">
        <v>800</v>
      </c>
      <c r="B25" s="8" t="s">
        <v>476</v>
      </c>
      <c r="C25" s="8" t="s">
        <v>801</v>
      </c>
      <c r="D25" s="8" t="s">
        <v>802</v>
      </c>
      <c r="E25" s="8" t="s">
        <v>803</v>
      </c>
      <c r="F25" s="8" t="s">
        <v>551</v>
      </c>
    </row>
    <row r="26" customFormat="false" ht="15" hidden="false" customHeight="false" outlineLevel="0" collapsed="false">
      <c r="A26" s="3" t="s">
        <v>804</v>
      </c>
      <c r="B26" s="10" t="s">
        <v>805</v>
      </c>
      <c r="C26" s="52" t="n">
        <v>2.609</v>
      </c>
      <c r="D26" s="10" t="s">
        <v>806</v>
      </c>
      <c r="E26" s="53" t="n">
        <v>2.112</v>
      </c>
      <c r="F26" s="27" t="s">
        <v>807</v>
      </c>
    </row>
    <row r="27" customFormat="false" ht="15" hidden="false" customHeight="false" outlineLevel="0" collapsed="false">
      <c r="A27" s="3" t="s">
        <v>808</v>
      </c>
      <c r="B27" s="10" t="s">
        <v>809</v>
      </c>
      <c r="C27" s="54" t="n">
        <v>1.311</v>
      </c>
      <c r="D27" s="10" t="s">
        <v>810</v>
      </c>
      <c r="E27" s="53" t="n">
        <v>1.32</v>
      </c>
      <c r="F27" s="27" t="s">
        <v>811</v>
      </c>
    </row>
    <row r="28" customFormat="false" ht="15" hidden="false" customHeight="false" outlineLevel="0" collapsed="false">
      <c r="A28" s="3" t="s">
        <v>812</v>
      </c>
      <c r="B28" s="10" t="s">
        <v>813</v>
      </c>
      <c r="C28" s="52" t="n">
        <v>0.906</v>
      </c>
      <c r="D28" s="10" t="s">
        <v>814</v>
      </c>
      <c r="E28" s="53" t="n">
        <v>0.783</v>
      </c>
      <c r="F28" s="27" t="s">
        <v>815</v>
      </c>
    </row>
    <row r="29" customFormat="false" ht="15" hidden="false" customHeight="false" outlineLevel="0" collapsed="false">
      <c r="A29" s="3" t="s">
        <v>816</v>
      </c>
      <c r="B29" s="10" t="s">
        <v>817</v>
      </c>
      <c r="C29" s="52" t="n">
        <v>0.693</v>
      </c>
      <c r="D29" s="10" t="s">
        <v>818</v>
      </c>
      <c r="E29" s="53" t="n">
        <v>0.574</v>
      </c>
      <c r="F29" s="27" t="s">
        <v>819</v>
      </c>
    </row>
    <row r="30" customFormat="false" ht="15" hidden="false" customHeight="false" outlineLevel="0" collapsed="false">
      <c r="A30" s="3" t="s">
        <v>820</v>
      </c>
      <c r="B30" s="10" t="s">
        <v>821</v>
      </c>
      <c r="C30" s="54" t="n">
        <v>0.891</v>
      </c>
      <c r="D30" s="10" t="s">
        <v>822</v>
      </c>
      <c r="E30" s="53" t="n">
        <v>0.931</v>
      </c>
      <c r="F30" s="27" t="s">
        <v>823</v>
      </c>
    </row>
    <row r="31" customFormat="false" ht="15" hidden="false" customHeight="false" outlineLevel="0" collapsed="false">
      <c r="A31" s="3" t="s">
        <v>824</v>
      </c>
      <c r="B31" s="10" t="s">
        <v>825</v>
      </c>
      <c r="C31" s="54" t="n">
        <v>1.408</v>
      </c>
      <c r="D31" s="10" t="s">
        <v>826</v>
      </c>
      <c r="E31" s="53" t="n">
        <v>1.514</v>
      </c>
      <c r="F31" s="27" t="s">
        <v>827</v>
      </c>
    </row>
    <row r="32" customFormat="false" ht="15" hidden="false" customHeight="false" outlineLevel="0" collapsed="false">
      <c r="A32" s="3" t="s">
        <v>828</v>
      </c>
      <c r="B32" s="10" t="s">
        <v>829</v>
      </c>
      <c r="C32" s="52" t="n">
        <v>0.95</v>
      </c>
      <c r="D32" s="10" t="s">
        <v>830</v>
      </c>
      <c r="E32" s="53" t="n">
        <v>0.916</v>
      </c>
      <c r="F32" s="27" t="s">
        <v>831</v>
      </c>
    </row>
    <row r="34" customFormat="false" ht="15" hidden="false" customHeight="false" outlineLevel="0" collapsed="false">
      <c r="A34" s="27" t="s">
        <v>832</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20"/>
    <col collapsed="false" customWidth="true" hidden="false" outlineLevel="0" max="3" min="3" style="0" width="16"/>
    <col collapsed="false" customWidth="true" hidden="false" outlineLevel="0" max="4" min="4" style="0" width="74"/>
  </cols>
  <sheetData>
    <row r="1" customFormat="false" ht="25.5" hidden="false" customHeight="true" outlineLevel="0" collapsed="false">
      <c r="A1" s="1" t="s">
        <v>38</v>
      </c>
      <c r="B1" s="1"/>
      <c r="C1" s="1"/>
      <c r="D1" s="1"/>
      <c r="E1" s="1"/>
      <c r="F1" s="1"/>
      <c r="G1" s="1"/>
      <c r="H1" s="1"/>
      <c r="I1" s="1"/>
      <c r="J1" s="1"/>
      <c r="K1" s="1"/>
      <c r="L1" s="1"/>
      <c r="M1" s="1"/>
      <c r="N1" s="1"/>
    </row>
    <row r="2" customFormat="false" ht="15" hidden="false" customHeight="false" outlineLevel="0" collapsed="false">
      <c r="A2" s="2" t="s">
        <v>39</v>
      </c>
      <c r="B2" s="2"/>
      <c r="C2" s="2"/>
      <c r="D2" s="2"/>
      <c r="E2" s="2"/>
      <c r="F2" s="2"/>
      <c r="G2" s="2"/>
      <c r="H2" s="2"/>
      <c r="I2" s="2"/>
      <c r="J2" s="2"/>
      <c r="K2" s="2"/>
      <c r="L2" s="2"/>
      <c r="M2" s="2"/>
      <c r="N2" s="2"/>
    </row>
    <row r="4" customFormat="false" ht="30" hidden="false" customHeight="true" outlineLevel="0" collapsed="false">
      <c r="A4" s="8" t="s">
        <v>40</v>
      </c>
      <c r="B4" s="8" t="s">
        <v>41</v>
      </c>
      <c r="C4" s="8" t="s">
        <v>42</v>
      </c>
      <c r="D4" s="8" t="s">
        <v>43</v>
      </c>
    </row>
    <row r="5" customFormat="false" ht="15" hidden="false" customHeight="false" outlineLevel="0" collapsed="false">
      <c r="A5" s="3" t="s">
        <v>44</v>
      </c>
      <c r="B5" s="9" t="n">
        <v>308745538</v>
      </c>
      <c r="C5" s="10" t="s">
        <v>45</v>
      </c>
      <c r="D5" s="11" t="s">
        <v>46</v>
      </c>
    </row>
    <row r="6" customFormat="false" ht="15" hidden="false" customHeight="false" outlineLevel="0" collapsed="false">
      <c r="A6" s="3" t="s">
        <v>47</v>
      </c>
      <c r="B6" s="9" t="n">
        <v>309327143</v>
      </c>
      <c r="C6" s="10" t="s">
        <v>45</v>
      </c>
      <c r="D6" s="11" t="s">
        <v>48</v>
      </c>
    </row>
    <row r="7" customFormat="false" ht="15" hidden="false" customHeight="false" outlineLevel="0" collapsed="false">
      <c r="A7" s="3" t="s">
        <v>49</v>
      </c>
      <c r="B7" s="9" t="n">
        <v>331893745</v>
      </c>
      <c r="C7" s="10" t="s">
        <v>45</v>
      </c>
      <c r="D7" s="11" t="s">
        <v>50</v>
      </c>
    </row>
    <row r="8" customFormat="false" ht="15" hidden="false" customHeight="false" outlineLevel="0" collapsed="false">
      <c r="A8" s="3" t="s">
        <v>51</v>
      </c>
      <c r="B8" s="12" t="n">
        <v>2.26</v>
      </c>
      <c r="C8" s="10" t="s">
        <v>52</v>
      </c>
      <c r="D8" s="11" t="s">
        <v>53</v>
      </c>
    </row>
    <row r="9" customFormat="false" ht="15" hidden="false" customHeight="false" outlineLevel="0" collapsed="false">
      <c r="A9" s="3" t="s">
        <v>54</v>
      </c>
      <c r="B9" s="12" t="n">
        <v>2.54</v>
      </c>
      <c r="C9" s="10" t="s">
        <v>52</v>
      </c>
      <c r="D9" s="11" t="s">
        <v>53</v>
      </c>
    </row>
    <row r="10" customFormat="false" ht="15" hidden="false" customHeight="false" outlineLevel="0" collapsed="false">
      <c r="A10" s="3" t="s">
        <v>55</v>
      </c>
      <c r="B10" s="12" t="n">
        <v>0.815</v>
      </c>
      <c r="C10" s="10" t="s">
        <v>56</v>
      </c>
      <c r="D10" s="11" t="s">
        <v>57</v>
      </c>
    </row>
    <row r="11" customFormat="false" ht="15" hidden="false" customHeight="false" outlineLevel="0" collapsed="false">
      <c r="A11" s="3" t="s">
        <v>58</v>
      </c>
      <c r="B11" s="12" t="n">
        <v>0.832320769230769</v>
      </c>
      <c r="C11" s="10" t="s">
        <v>56</v>
      </c>
      <c r="D11" s="11" t="s">
        <v>59</v>
      </c>
    </row>
    <row r="12" customFormat="false" ht="15" hidden="false" customHeight="false" outlineLevel="0" collapsed="false">
      <c r="A12" s="3" t="s">
        <v>60</v>
      </c>
      <c r="B12" s="12" t="n">
        <v>0.79</v>
      </c>
      <c r="C12" s="10" t="s">
        <v>61</v>
      </c>
      <c r="D12" s="11" t="s">
        <v>62</v>
      </c>
    </row>
    <row r="13" customFormat="false" ht="15" hidden="false" customHeight="false" outlineLevel="0" collapsed="false">
      <c r="A13" s="3" t="s">
        <v>63</v>
      </c>
      <c r="B13" s="12" t="n">
        <v>8.33</v>
      </c>
      <c r="C13" s="10" t="s">
        <v>64</v>
      </c>
      <c r="D13" s="11" t="s">
        <v>62</v>
      </c>
    </row>
    <row r="14" customFormat="false" ht="15" hidden="false" customHeight="false" outlineLevel="0" collapsed="false">
      <c r="A14" s="3" t="s">
        <v>65</v>
      </c>
      <c r="B14" s="12" t="n">
        <v>453.59</v>
      </c>
      <c r="C14" s="10" t="s">
        <v>66</v>
      </c>
      <c r="D14" s="11" t="s">
        <v>62</v>
      </c>
    </row>
    <row r="15" customFormat="false" ht="15" hidden="false" customHeight="false" outlineLevel="0" collapsed="false">
      <c r="A15" s="3" t="s">
        <v>67</v>
      </c>
      <c r="B15" s="12" t="n">
        <v>14</v>
      </c>
      <c r="C15" s="10" t="s">
        <v>68</v>
      </c>
      <c r="D15" s="11" t="s">
        <v>69</v>
      </c>
    </row>
    <row r="16" customFormat="false" ht="15" hidden="false" customHeight="false" outlineLevel="0" collapsed="false">
      <c r="A16" s="3" t="s">
        <v>70</v>
      </c>
      <c r="B16" s="12" t="n">
        <v>0.426</v>
      </c>
      <c r="C16" s="10" t="s">
        <v>56</v>
      </c>
      <c r="D16" s="11" t="s">
        <v>71</v>
      </c>
    </row>
    <row r="17" customFormat="false" ht="15" hidden="false" customHeight="false" outlineLevel="0" collapsed="false">
      <c r="A17" s="3" t="s">
        <v>72</v>
      </c>
      <c r="B17" s="12" t="n">
        <v>0.486</v>
      </c>
      <c r="C17" s="10" t="s">
        <v>56</v>
      </c>
      <c r="D17" s="11" t="s">
        <v>71</v>
      </c>
    </row>
    <row r="18" customFormat="false" ht="15" hidden="false" customHeight="false" outlineLevel="0" collapsed="false">
      <c r="A18" s="3" t="s">
        <v>73</v>
      </c>
      <c r="B18" s="12" t="n">
        <v>0.3074</v>
      </c>
      <c r="C18" s="10" t="s">
        <v>56</v>
      </c>
      <c r="D18" s="11" t="s">
        <v>74</v>
      </c>
    </row>
    <row r="19" customFormat="false" ht="15" hidden="false" customHeight="false" outlineLevel="0" collapsed="false">
      <c r="A19" s="3" t="s">
        <v>75</v>
      </c>
      <c r="B19" s="12" t="n">
        <v>0.3454</v>
      </c>
      <c r="C19" s="10" t="s">
        <v>56</v>
      </c>
      <c r="D19" s="11" t="s">
        <v>74</v>
      </c>
    </row>
    <row r="20" customFormat="false" ht="22.35" hidden="false" customHeight="false" outlineLevel="0" collapsed="false">
      <c r="A20" s="3" t="s">
        <v>76</v>
      </c>
      <c r="B20" s="13" t="n">
        <v>0.321536036818291</v>
      </c>
      <c r="C20" s="10" t="s">
        <v>56</v>
      </c>
      <c r="D20" s="11" t="s">
        <v>77</v>
      </c>
    </row>
    <row r="21" customFormat="false" ht="15" hidden="false" customHeight="false" outlineLevel="0" collapsed="false">
      <c r="A21" s="3" t="s">
        <v>78</v>
      </c>
      <c r="B21" s="12" t="n">
        <v>0.361283497452953</v>
      </c>
      <c r="C21" s="10" t="s">
        <v>56</v>
      </c>
      <c r="D21" s="11" t="s">
        <v>79</v>
      </c>
    </row>
    <row r="22" customFormat="false" ht="15" hidden="false" customHeight="false" outlineLevel="0" collapsed="false">
      <c r="A22" s="3" t="s">
        <v>80</v>
      </c>
      <c r="B22" s="14" t="n">
        <v>12500000</v>
      </c>
      <c r="C22" s="10" t="s">
        <v>81</v>
      </c>
      <c r="D22" s="11" t="s">
        <v>82</v>
      </c>
    </row>
    <row r="23" customFormat="false" ht="15" hidden="false" customHeight="false" outlineLevel="0" collapsed="false">
      <c r="A23" s="3" t="s">
        <v>83</v>
      </c>
      <c r="B23" s="12" t="n">
        <v>1.14864864864865</v>
      </c>
      <c r="C23" s="10" t="s">
        <v>61</v>
      </c>
      <c r="D23" s="11" t="s">
        <v>84</v>
      </c>
    </row>
    <row r="24" customFormat="false" ht="15" hidden="false" customHeight="false" outlineLevel="0" collapsed="false">
      <c r="A24" s="3" t="s">
        <v>85</v>
      </c>
      <c r="B24" s="12" t="n">
        <v>0.553003286383706</v>
      </c>
      <c r="C24" s="10" t="s">
        <v>61</v>
      </c>
      <c r="D24" s="11" t="s">
        <v>86</v>
      </c>
    </row>
    <row r="25" customFormat="false" ht="15" hidden="false" customHeight="false" outlineLevel="0" collapsed="false">
      <c r="A25" s="3" t="s">
        <v>87</v>
      </c>
      <c r="B25" s="12" t="n">
        <v>0.676551953872196</v>
      </c>
      <c r="C25" s="10" t="s">
        <v>61</v>
      </c>
      <c r="D25" s="11" t="s">
        <v>88</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46"/>
    <col collapsed="false" customWidth="true" hidden="false" outlineLevel="0" max="3" min="3" style="0" width="20"/>
    <col collapsed="false" customWidth="true" hidden="false" outlineLevel="0" max="4" min="4" style="0" width="16"/>
  </cols>
  <sheetData>
    <row r="1" customFormat="false" ht="25.5" hidden="false" customHeight="true" outlineLevel="0" collapsed="false">
      <c r="A1" s="1" t="s">
        <v>89</v>
      </c>
      <c r="B1" s="1"/>
      <c r="C1" s="1"/>
      <c r="D1" s="1"/>
      <c r="E1" s="1"/>
      <c r="F1" s="1"/>
      <c r="G1" s="1"/>
      <c r="H1" s="1"/>
      <c r="I1" s="1"/>
      <c r="J1" s="1"/>
      <c r="K1" s="1"/>
      <c r="L1" s="1"/>
      <c r="M1" s="1"/>
      <c r="N1" s="1"/>
    </row>
    <row r="2" customFormat="false" ht="15" hidden="false" customHeight="false" outlineLevel="0" collapsed="false">
      <c r="A2" s="2" t="s">
        <v>90</v>
      </c>
      <c r="B2" s="2"/>
      <c r="C2" s="2"/>
      <c r="D2" s="2"/>
      <c r="E2" s="2"/>
      <c r="F2" s="2"/>
      <c r="G2" s="2"/>
      <c r="H2" s="2"/>
      <c r="I2" s="2"/>
      <c r="J2" s="2"/>
      <c r="K2" s="2"/>
      <c r="L2" s="2"/>
      <c r="M2" s="2"/>
      <c r="N2" s="2"/>
    </row>
    <row r="4" customFormat="false" ht="30" hidden="false" customHeight="true" outlineLevel="0" collapsed="false">
      <c r="A4" s="8" t="s">
        <v>91</v>
      </c>
      <c r="B4" s="8" t="s">
        <v>92</v>
      </c>
      <c r="C4" s="8" t="s">
        <v>93</v>
      </c>
      <c r="D4" s="8" t="s">
        <v>94</v>
      </c>
    </row>
    <row r="5" customFormat="false" ht="15" hidden="false" customHeight="false" outlineLevel="0" collapsed="false">
      <c r="A5" s="10" t="n">
        <v>1</v>
      </c>
      <c r="B5" s="10" t="s">
        <v>95</v>
      </c>
      <c r="C5" s="10" t="s">
        <v>96</v>
      </c>
      <c r="D5" s="15" t="n">
        <v>12044.6</v>
      </c>
    </row>
    <row r="6" customFormat="false" ht="15" hidden="false" customHeight="false" outlineLevel="0" collapsed="false">
      <c r="A6" s="10" t="n">
        <v>2</v>
      </c>
      <c r="B6" s="10" t="s">
        <v>97</v>
      </c>
      <c r="C6" s="10" t="s">
        <v>96</v>
      </c>
      <c r="D6" s="15" t="n">
        <v>5948.5</v>
      </c>
    </row>
    <row r="7" customFormat="false" ht="15" hidden="false" customHeight="false" outlineLevel="0" collapsed="false">
      <c r="A7" s="10" t="n">
        <v>3</v>
      </c>
      <c r="B7" s="10" t="s">
        <v>98</v>
      </c>
      <c r="C7" s="10" t="s">
        <v>96</v>
      </c>
      <c r="D7" s="15" t="n">
        <v>1524.5</v>
      </c>
    </row>
    <row r="8" customFormat="false" ht="15" hidden="false" customHeight="false" outlineLevel="0" collapsed="false">
      <c r="A8" s="10" t="n">
        <v>4</v>
      </c>
      <c r="B8" s="10" t="s">
        <v>99</v>
      </c>
      <c r="C8" s="10" t="s">
        <v>96</v>
      </c>
      <c r="D8" s="15" t="n">
        <v>1166.8</v>
      </c>
    </row>
    <row r="9" customFormat="false" ht="15" hidden="false" customHeight="false" outlineLevel="0" collapsed="false">
      <c r="A9" s="10" t="n">
        <v>5</v>
      </c>
      <c r="B9" s="10" t="s">
        <v>100</v>
      </c>
      <c r="C9" s="10" t="s">
        <v>96</v>
      </c>
      <c r="D9" s="15" t="n">
        <v>1545.5</v>
      </c>
    </row>
    <row r="10" customFormat="false" ht="15" hidden="false" customHeight="false" outlineLevel="0" collapsed="false">
      <c r="A10" s="10" t="n">
        <v>6</v>
      </c>
      <c r="B10" s="10" t="s">
        <v>101</v>
      </c>
      <c r="C10" s="10" t="s">
        <v>96</v>
      </c>
      <c r="D10" s="15" t="n">
        <v>2750</v>
      </c>
    </row>
    <row r="11" customFormat="false" ht="15" hidden="false" customHeight="false" outlineLevel="0" collapsed="false">
      <c r="A11" s="10" t="n">
        <v>7</v>
      </c>
      <c r="B11" s="10" t="s">
        <v>102</v>
      </c>
      <c r="C11" s="10" t="s">
        <v>96</v>
      </c>
      <c r="D11" s="15" t="n">
        <v>1048.8</v>
      </c>
    </row>
    <row r="12" customFormat="false" ht="15" hidden="false" customHeight="false" outlineLevel="0" collapsed="false">
      <c r="A12" s="10" t="n">
        <v>8</v>
      </c>
      <c r="B12" s="10" t="s">
        <v>103</v>
      </c>
      <c r="C12" s="10" t="s">
        <v>96</v>
      </c>
      <c r="D12" s="15" t="n">
        <v>34.8</v>
      </c>
    </row>
    <row r="13" customFormat="false" ht="15" hidden="false" customHeight="false" outlineLevel="0" collapsed="false">
      <c r="A13" s="10" t="n">
        <v>9</v>
      </c>
      <c r="B13" s="10" t="s">
        <v>104</v>
      </c>
      <c r="C13" s="10" t="s">
        <v>96</v>
      </c>
      <c r="D13" s="15" t="n">
        <v>2315.6</v>
      </c>
    </row>
    <row r="14" customFormat="false" ht="15" hidden="false" customHeight="false" outlineLevel="0" collapsed="false">
      <c r="A14" s="10" t="n">
        <v>10</v>
      </c>
      <c r="B14" s="10" t="s">
        <v>105</v>
      </c>
      <c r="C14" s="10" t="s">
        <v>106</v>
      </c>
      <c r="D14" s="15" t="n">
        <v>76858.6</v>
      </c>
    </row>
    <row r="15" customFormat="false" ht="15" hidden="false" customHeight="false" outlineLevel="0" collapsed="false">
      <c r="A15" s="10" t="n">
        <v>11</v>
      </c>
      <c r="B15" s="10" t="s">
        <v>107</v>
      </c>
      <c r="C15" s="10" t="s">
        <v>106</v>
      </c>
      <c r="D15" s="15" t="n">
        <v>6218</v>
      </c>
    </row>
    <row r="16" customFormat="false" ht="15" hidden="false" customHeight="false" outlineLevel="0" collapsed="false">
      <c r="A16" s="10" t="n">
        <v>12</v>
      </c>
      <c r="B16" s="10" t="s">
        <v>108</v>
      </c>
      <c r="C16" s="10" t="s">
        <v>106</v>
      </c>
      <c r="D16" s="15" t="n">
        <v>4619.9</v>
      </c>
    </row>
    <row r="17" customFormat="false" ht="15" hidden="false" customHeight="false" outlineLevel="0" collapsed="false">
      <c r="A17" s="10" t="n">
        <v>13</v>
      </c>
      <c r="B17" s="10" t="s">
        <v>109</v>
      </c>
      <c r="C17" s="10" t="s">
        <v>106</v>
      </c>
      <c r="D17" s="15" t="n">
        <v>1983.4</v>
      </c>
    </row>
    <row r="18" customFormat="false" ht="15" hidden="false" customHeight="false" outlineLevel="0" collapsed="false">
      <c r="A18" s="10" t="n">
        <v>14</v>
      </c>
      <c r="B18" s="10" t="s">
        <v>110</v>
      </c>
      <c r="C18" s="10" t="s">
        <v>106</v>
      </c>
      <c r="D18" s="15" t="n">
        <v>228.4</v>
      </c>
    </row>
    <row r="19" customFormat="false" ht="15" hidden="false" customHeight="false" outlineLevel="0" collapsed="false">
      <c r="A19" s="10" t="n">
        <v>15</v>
      </c>
      <c r="B19" s="10" t="s">
        <v>111</v>
      </c>
      <c r="C19" s="10" t="s">
        <v>106</v>
      </c>
      <c r="D19" s="15" t="n">
        <v>75204.5</v>
      </c>
    </row>
    <row r="20" customFormat="false" ht="15" hidden="false" customHeight="false" outlineLevel="0" collapsed="false">
      <c r="A20" s="10" t="n">
        <v>16</v>
      </c>
      <c r="B20" s="10" t="s">
        <v>112</v>
      </c>
      <c r="C20" s="10" t="s">
        <v>106</v>
      </c>
      <c r="D20" s="15" t="n">
        <v>9150.5</v>
      </c>
    </row>
    <row r="21" customFormat="false" ht="15" hidden="false" customHeight="false" outlineLevel="0" collapsed="false">
      <c r="A21" s="10" t="n">
        <v>17</v>
      </c>
      <c r="B21" s="10" t="s">
        <v>113</v>
      </c>
      <c r="C21" s="10" t="s">
        <v>106</v>
      </c>
      <c r="D21" s="15" t="n">
        <v>2704.8</v>
      </c>
    </row>
    <row r="22" customFormat="false" ht="15" hidden="false" customHeight="false" outlineLevel="0" collapsed="false">
      <c r="A22" s="10" t="n">
        <v>18</v>
      </c>
      <c r="B22" s="10" t="s">
        <v>114</v>
      </c>
      <c r="C22" s="10" t="s">
        <v>106</v>
      </c>
      <c r="D22" s="15" t="n">
        <v>2116.8</v>
      </c>
    </row>
    <row r="23" customFormat="false" ht="15" hidden="false" customHeight="false" outlineLevel="0" collapsed="false">
      <c r="A23" s="10" t="n">
        <v>19</v>
      </c>
      <c r="B23" s="10" t="s">
        <v>115</v>
      </c>
      <c r="C23" s="10" t="s">
        <v>116</v>
      </c>
      <c r="D23" s="15" t="n">
        <v>559.4</v>
      </c>
    </row>
    <row r="24" customFormat="false" ht="15" hidden="false" customHeight="false" outlineLevel="0" collapsed="false">
      <c r="A24" s="10" t="n">
        <v>20</v>
      </c>
      <c r="B24" s="10" t="s">
        <v>117</v>
      </c>
      <c r="C24" s="10" t="s">
        <v>116</v>
      </c>
      <c r="D24" s="15" t="n">
        <v>15865.9</v>
      </c>
    </row>
    <row r="25" customFormat="false" ht="15" hidden="false" customHeight="false" outlineLevel="0" collapsed="false">
      <c r="A25" s="10" t="n">
        <v>21</v>
      </c>
      <c r="B25" s="10" t="s">
        <v>118</v>
      </c>
      <c r="C25" s="10" t="s">
        <v>116</v>
      </c>
      <c r="D25" s="15" t="n">
        <v>2160</v>
      </c>
    </row>
    <row r="26" customFormat="false" ht="15" hidden="false" customHeight="false" outlineLevel="0" collapsed="false">
      <c r="A26" s="10" t="n">
        <v>22</v>
      </c>
      <c r="B26" s="10" t="s">
        <v>119</v>
      </c>
      <c r="C26" s="10" t="s">
        <v>116</v>
      </c>
      <c r="D26" s="15" t="n">
        <v>5998.8</v>
      </c>
    </row>
    <row r="27" customFormat="false" ht="15" hidden="false" customHeight="false" outlineLevel="0" collapsed="false">
      <c r="A27" s="10" t="n">
        <v>23</v>
      </c>
      <c r="B27" s="10" t="s">
        <v>120</v>
      </c>
      <c r="C27" s="10" t="s">
        <v>116</v>
      </c>
      <c r="D27" s="15" t="n">
        <v>228.1</v>
      </c>
    </row>
    <row r="28" customFormat="false" ht="15" hidden="false" customHeight="false" outlineLevel="0" collapsed="false">
      <c r="A28" s="10" t="n">
        <v>24</v>
      </c>
      <c r="B28" s="10" t="s">
        <v>121</v>
      </c>
      <c r="C28" s="10" t="s">
        <v>116</v>
      </c>
      <c r="D28" s="15" t="n">
        <v>13461.9</v>
      </c>
    </row>
    <row r="29" customFormat="false" ht="15" hidden="false" customHeight="false" outlineLevel="0" collapsed="false">
      <c r="A29" s="10" t="n">
        <v>25</v>
      </c>
      <c r="B29" s="10" t="s">
        <v>122</v>
      </c>
      <c r="C29" s="10" t="s">
        <v>116</v>
      </c>
      <c r="D29" s="15" t="n">
        <v>2914.3</v>
      </c>
    </row>
    <row r="30" customFormat="false" ht="15" hidden="false" customHeight="false" outlineLevel="0" collapsed="false">
      <c r="A30" s="10" t="n">
        <v>26</v>
      </c>
      <c r="B30" s="10" t="s">
        <v>123</v>
      </c>
      <c r="C30" s="10" t="s">
        <v>116</v>
      </c>
      <c r="D30" s="15" t="n">
        <v>374.1</v>
      </c>
    </row>
    <row r="32" customFormat="false" ht="15" hidden="false" customHeight="false" outlineLevel="0" collapsed="false">
      <c r="B32" s="16" t="s">
        <v>124</v>
      </c>
      <c r="D32" s="16" t="s">
        <v>125</v>
      </c>
      <c r="E32" s="16" t="s">
        <v>126</v>
      </c>
      <c r="F32" s="16" t="s">
        <v>127</v>
      </c>
    </row>
    <row r="33" customFormat="false" ht="15" hidden="false" customHeight="false" outlineLevel="0" collapsed="false">
      <c r="B33" s="3" t="s">
        <v>128</v>
      </c>
      <c r="D33" s="17" t="n">
        <f aca="false">SUMIF(C5:C30,"Healthcare",D5:D30)</f>
        <v>28379.1</v>
      </c>
      <c r="E33" s="15" t="n">
        <v>28379.1</v>
      </c>
      <c r="F33" s="17" t="n">
        <f aca="false">D33-E33</f>
        <v>0</v>
      </c>
    </row>
    <row r="34" customFormat="false" ht="15" hidden="false" customHeight="false" outlineLevel="0" collapsed="false">
      <c r="B34" s="3" t="s">
        <v>129</v>
      </c>
      <c r="D34" s="17" t="n">
        <f aca="false">SUMIF(C5:C30,"Lost productivity",D5:D30)</f>
        <v>179084.9</v>
      </c>
      <c r="E34" s="15" t="n">
        <v>179084.9</v>
      </c>
      <c r="F34" s="17" t="n">
        <f aca="false">D34-E34</f>
        <v>0</v>
      </c>
    </row>
    <row r="35" customFormat="false" ht="15" hidden="false" customHeight="false" outlineLevel="0" collapsed="false">
      <c r="B35" s="3" t="s">
        <v>130</v>
      </c>
      <c r="D35" s="17" t="n">
        <f aca="false">SUMIF(C5:C30,"Other",D5:D30)</f>
        <v>41562.5</v>
      </c>
      <c r="E35" s="15" t="n">
        <v>41562.5</v>
      </c>
      <c r="F35" s="17" t="n">
        <f aca="false">D35-E35</f>
        <v>0</v>
      </c>
    </row>
    <row r="36" customFormat="false" ht="15" hidden="false" customHeight="false" outlineLevel="0" collapsed="false">
      <c r="B36" s="3" t="s">
        <v>131</v>
      </c>
      <c r="D36" s="18" t="n">
        <f aca="false">SUM(D5:D30)</f>
        <v>249026.5</v>
      </c>
      <c r="E36" s="15" t="n">
        <v>249026.4</v>
      </c>
      <c r="F36" s="18" t="n">
        <f aca="false">D36-E36</f>
        <v>0.100000000005821</v>
      </c>
    </row>
    <row r="38" customFormat="false" ht="15" hidden="false" customHeight="false" outlineLevel="0" collapsed="false">
      <c r="B38" s="3" t="s">
        <v>132</v>
      </c>
      <c r="D38" s="15" t="n">
        <v>100674.8</v>
      </c>
    </row>
    <row r="39" customFormat="false" ht="15" hidden="false" customHeight="false" outlineLevel="0" collapsed="false">
      <c r="B39" s="3" t="s">
        <v>133</v>
      </c>
      <c r="D39" s="19" t="n">
        <f aca="false">D38/D36</f>
        <v>0.404273440778391</v>
      </c>
    </row>
    <row r="40" customFormat="false" ht="15" hidden="false" customHeight="false" outlineLevel="0" collapsed="false">
      <c r="B40" s="3" t="s">
        <v>134</v>
      </c>
      <c r="D40" s="20" t="n">
        <f aca="false">D36*1000000/01_PARAMETERS!B5</f>
        <v>806.575219234423</v>
      </c>
    </row>
    <row r="41" customFormat="false" ht="15" hidden="false" customHeight="false" outlineLevel="0" collapsed="false">
      <c r="B41" s="10" t="s">
        <v>135</v>
      </c>
      <c r="D41" s="21" t="n">
        <v>807</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34"/>
    <col collapsed="false" customWidth="true" hidden="false" outlineLevel="0" max="3" min="3" style="0" width="40"/>
    <col collapsed="false" customWidth="true" hidden="false" outlineLevel="0" max="5" min="4" style="0" width="16"/>
    <col collapsed="false" customWidth="true" hidden="false" outlineLevel="0" max="6" min="6" style="0" width="13"/>
    <col collapsed="false" customWidth="true" hidden="false" outlineLevel="0" max="7" min="7" style="0" width="8"/>
    <col collapsed="false" customWidth="true" hidden="false" outlineLevel="0" max="8" min="8" style="0" width="78"/>
  </cols>
  <sheetData>
    <row r="1" customFormat="false" ht="25.5" hidden="false" customHeight="true" outlineLevel="0" collapsed="false">
      <c r="A1" s="1" t="s">
        <v>136</v>
      </c>
      <c r="B1" s="1"/>
      <c r="C1" s="1"/>
      <c r="D1" s="1"/>
      <c r="E1" s="1"/>
      <c r="F1" s="1"/>
      <c r="G1" s="1"/>
      <c r="H1" s="1"/>
      <c r="I1" s="1"/>
      <c r="J1" s="1"/>
      <c r="K1" s="1"/>
      <c r="L1" s="1"/>
      <c r="M1" s="1"/>
      <c r="N1" s="1"/>
    </row>
    <row r="2" customFormat="false" ht="15" hidden="false" customHeight="false" outlineLevel="0" collapsed="false">
      <c r="A2" s="2" t="s">
        <v>137</v>
      </c>
      <c r="B2" s="2"/>
      <c r="C2" s="2"/>
      <c r="D2" s="2"/>
      <c r="E2" s="2"/>
      <c r="F2" s="2"/>
      <c r="G2" s="2"/>
      <c r="H2" s="2"/>
      <c r="I2" s="2"/>
      <c r="J2" s="2"/>
      <c r="K2" s="2"/>
      <c r="L2" s="2"/>
      <c r="M2" s="2"/>
      <c r="N2" s="2"/>
    </row>
    <row r="4" customFormat="false" ht="30" hidden="false" customHeight="true" outlineLevel="0" collapsed="false">
      <c r="A4" s="8" t="s">
        <v>91</v>
      </c>
      <c r="B4" s="8" t="s">
        <v>92</v>
      </c>
      <c r="C4" s="8" t="s">
        <v>138</v>
      </c>
      <c r="D4" s="8" t="s">
        <v>139</v>
      </c>
      <c r="E4" s="8" t="s">
        <v>140</v>
      </c>
      <c r="F4" s="8" t="s">
        <v>141</v>
      </c>
      <c r="G4" s="8" t="s">
        <v>142</v>
      </c>
      <c r="H4" s="8" t="s">
        <v>143</v>
      </c>
    </row>
    <row r="5" customFormat="false" ht="33.75" hidden="false" customHeight="true" outlineLevel="0" collapsed="false">
      <c r="A5" s="10" t="n">
        <v>1</v>
      </c>
      <c r="B5" s="10" t="s">
        <v>95</v>
      </c>
      <c r="C5" s="10" t="s">
        <v>144</v>
      </c>
      <c r="D5" s="9" t="n">
        <v>717032</v>
      </c>
      <c r="E5" s="9" t="n">
        <v>720505</v>
      </c>
      <c r="F5" s="22" t="n">
        <f aca="false">E5/D5</f>
        <v>1.00484357741356</v>
      </c>
      <c r="G5" s="23" t="s">
        <v>145</v>
      </c>
      <c r="H5" s="11" t="s">
        <v>146</v>
      </c>
    </row>
    <row r="6" customFormat="false" ht="33.75" hidden="false" customHeight="true" outlineLevel="0" collapsed="false">
      <c r="A6" s="10" t="n">
        <v>2</v>
      </c>
      <c r="B6" s="10" t="s">
        <v>97</v>
      </c>
      <c r="C6" s="10" t="s">
        <v>147</v>
      </c>
      <c r="D6" s="9" t="n">
        <v>2237100</v>
      </c>
      <c r="E6" s="9" t="n">
        <v>3382413.42776276</v>
      </c>
      <c r="F6" s="22" t="n">
        <f aca="false">E6/D6</f>
        <v>1.51196344721414</v>
      </c>
      <c r="G6" s="7" t="s">
        <v>148</v>
      </c>
      <c r="H6" s="11" t="s">
        <v>149</v>
      </c>
    </row>
    <row r="7" customFormat="false" ht="33.75" hidden="false" customHeight="true" outlineLevel="0" collapsed="false">
      <c r="A7" s="10" t="n">
        <v>3</v>
      </c>
      <c r="B7" s="10" t="s">
        <v>98</v>
      </c>
      <c r="C7" s="10" t="s">
        <v>150</v>
      </c>
      <c r="D7" s="9" t="n">
        <v>17876000</v>
      </c>
      <c r="E7" s="9" t="n">
        <v>29544000</v>
      </c>
      <c r="F7" s="22" t="n">
        <f aca="false">E7/D7</f>
        <v>1.65271872902215</v>
      </c>
      <c r="G7" s="23" t="s">
        <v>145</v>
      </c>
      <c r="H7" s="11" t="s">
        <v>151</v>
      </c>
    </row>
    <row r="8" customFormat="false" ht="33.75" hidden="false" customHeight="true" outlineLevel="0" collapsed="false">
      <c r="A8" s="10" t="n">
        <v>4</v>
      </c>
      <c r="B8" s="10" t="s">
        <v>99</v>
      </c>
      <c r="C8" s="10" t="s">
        <v>152</v>
      </c>
      <c r="D8" s="9" t="n">
        <v>1383700</v>
      </c>
      <c r="E8" s="9" t="n">
        <v>1294800</v>
      </c>
      <c r="F8" s="22" t="n">
        <f aca="false">E8/D8</f>
        <v>0.93575196935752</v>
      </c>
      <c r="G8" s="7" t="s">
        <v>148</v>
      </c>
      <c r="H8" s="11" t="s">
        <v>153</v>
      </c>
    </row>
    <row r="9" customFormat="false" ht="33.75" hidden="false" customHeight="true" outlineLevel="0" collapsed="false">
      <c r="A9" s="10" t="n">
        <v>5</v>
      </c>
      <c r="B9" s="10" t="s">
        <v>100</v>
      </c>
      <c r="C9" s="10" t="s">
        <v>154</v>
      </c>
      <c r="D9" s="9" t="n">
        <v>17876000</v>
      </c>
      <c r="E9" s="9" t="n">
        <v>29544000</v>
      </c>
      <c r="F9" s="22" t="n">
        <f aca="false">E9/D9</f>
        <v>1.65271872902215</v>
      </c>
      <c r="G9" s="23" t="s">
        <v>145</v>
      </c>
      <c r="H9" s="11" t="s">
        <v>155</v>
      </c>
    </row>
    <row r="10" customFormat="false" ht="33.75" hidden="false" customHeight="true" outlineLevel="0" collapsed="false">
      <c r="A10" s="10" t="n">
        <v>6</v>
      </c>
      <c r="B10" s="10" t="s">
        <v>101</v>
      </c>
      <c r="C10" s="10" t="s">
        <v>156</v>
      </c>
      <c r="D10" s="9" t="n">
        <v>3999386</v>
      </c>
      <c r="E10" s="9" t="n">
        <v>3664292</v>
      </c>
      <c r="F10" s="22" t="n">
        <f aca="false">E10/D10</f>
        <v>0.916213638793555</v>
      </c>
      <c r="G10" s="24" t="s">
        <v>157</v>
      </c>
      <c r="H10" s="11" t="s">
        <v>158</v>
      </c>
    </row>
    <row r="11" customFormat="false" ht="33.75" hidden="false" customHeight="true" outlineLevel="0" collapsed="false">
      <c r="A11" s="10" t="n">
        <v>7</v>
      </c>
      <c r="B11" s="10" t="s">
        <v>102</v>
      </c>
      <c r="C11" s="10" t="s">
        <v>159</v>
      </c>
      <c r="D11" s="25" t="n">
        <v>1</v>
      </c>
      <c r="E11" s="25" t="n">
        <v>1</v>
      </c>
      <c r="F11" s="22" t="n">
        <f aca="false">E11/D11</f>
        <v>1</v>
      </c>
      <c r="G11" s="3" t="s">
        <v>160</v>
      </c>
      <c r="H11" s="11" t="s">
        <v>161</v>
      </c>
    </row>
    <row r="12" customFormat="false" ht="33.75" hidden="false" customHeight="true" outlineLevel="0" collapsed="false">
      <c r="A12" s="10" t="n">
        <v>8</v>
      </c>
      <c r="B12" s="10" t="s">
        <v>103</v>
      </c>
      <c r="C12" s="10" t="s">
        <v>162</v>
      </c>
      <c r="D12" s="25" t="n">
        <v>1</v>
      </c>
      <c r="E12" s="25" t="n">
        <v>1.2</v>
      </c>
      <c r="F12" s="22" t="n">
        <f aca="false">E12/D12</f>
        <v>1.2</v>
      </c>
      <c r="G12" s="23" t="s">
        <v>145</v>
      </c>
      <c r="H12" s="11" t="s">
        <v>163</v>
      </c>
    </row>
    <row r="13" customFormat="false" ht="33.75" hidden="false" customHeight="true" outlineLevel="0" collapsed="false">
      <c r="A13" s="10" t="n">
        <v>9</v>
      </c>
      <c r="B13" s="10" t="s">
        <v>104</v>
      </c>
      <c r="C13" s="10" t="s">
        <v>164</v>
      </c>
      <c r="D13" s="26" t="n">
        <f aca="false">SUM(02_2010_BASELINE!D5:D10)</f>
        <v>24979.9</v>
      </c>
      <c r="E13" s="26" t="n">
        <f aca="false">SUM(06_COMPONENT_CALC!H5:H10)</f>
        <v>40303.0611988075</v>
      </c>
      <c r="F13" s="22" t="n">
        <f aca="false">E13/D13</f>
        <v>1.61341963734072</v>
      </c>
      <c r="G13" s="3" t="s">
        <v>160</v>
      </c>
      <c r="H13" s="11" t="s">
        <v>165</v>
      </c>
    </row>
    <row r="14" customFormat="false" ht="33.75" hidden="false" customHeight="true" outlineLevel="0" collapsed="false">
      <c r="A14" s="10" t="n">
        <v>10</v>
      </c>
      <c r="B14" s="10" t="s">
        <v>105</v>
      </c>
      <c r="C14" s="10" t="s">
        <v>150</v>
      </c>
      <c r="D14" s="9" t="n">
        <v>17876000</v>
      </c>
      <c r="E14" s="9" t="n">
        <v>29544000</v>
      </c>
      <c r="F14" s="22" t="n">
        <f aca="false">E14/D14</f>
        <v>1.65271872902215</v>
      </c>
      <c r="G14" s="23" t="s">
        <v>145</v>
      </c>
      <c r="H14" s="11" t="s">
        <v>151</v>
      </c>
    </row>
    <row r="15" customFormat="false" ht="33.75" hidden="false" customHeight="true" outlineLevel="0" collapsed="false">
      <c r="A15" s="10" t="n">
        <v>11</v>
      </c>
      <c r="B15" s="10" t="s">
        <v>107</v>
      </c>
      <c r="C15" s="10" t="s">
        <v>150</v>
      </c>
      <c r="D15" s="9" t="n">
        <v>17876000</v>
      </c>
      <c r="E15" s="9" t="n">
        <v>29544000</v>
      </c>
      <c r="F15" s="22" t="n">
        <f aca="false">E15/D15</f>
        <v>1.65271872902215</v>
      </c>
      <c r="G15" s="23" t="s">
        <v>145</v>
      </c>
      <c r="H15" s="11" t="s">
        <v>151</v>
      </c>
    </row>
    <row r="16" customFormat="false" ht="33.75" hidden="false" customHeight="true" outlineLevel="0" collapsed="false">
      <c r="A16" s="10" t="n">
        <v>12</v>
      </c>
      <c r="B16" s="10" t="s">
        <v>108</v>
      </c>
      <c r="C16" s="10" t="s">
        <v>166</v>
      </c>
      <c r="D16" s="9" t="n">
        <v>58550000</v>
      </c>
      <c r="E16" s="9" t="n">
        <v>60039000</v>
      </c>
      <c r="F16" s="22" t="n">
        <f aca="false">E16/D16</f>
        <v>1.02543125533732</v>
      </c>
      <c r="G16" s="7" t="s">
        <v>148</v>
      </c>
      <c r="H16" s="11" t="s">
        <v>167</v>
      </c>
    </row>
    <row r="17" customFormat="false" ht="33.75" hidden="false" customHeight="true" outlineLevel="0" collapsed="false">
      <c r="A17" s="10" t="n">
        <v>13</v>
      </c>
      <c r="B17" s="10" t="s">
        <v>109</v>
      </c>
      <c r="C17" s="10" t="s">
        <v>144</v>
      </c>
      <c r="D17" s="9" t="n">
        <v>717032</v>
      </c>
      <c r="E17" s="9" t="n">
        <v>720505</v>
      </c>
      <c r="F17" s="22" t="n">
        <f aca="false">E17/D17</f>
        <v>1.00484357741356</v>
      </c>
      <c r="G17" s="23" t="s">
        <v>145</v>
      </c>
      <c r="H17" s="11" t="s">
        <v>146</v>
      </c>
    </row>
    <row r="18" customFormat="false" ht="33.75" hidden="false" customHeight="true" outlineLevel="0" collapsed="false">
      <c r="A18" s="10" t="n">
        <v>14</v>
      </c>
      <c r="B18" s="10" t="s">
        <v>110</v>
      </c>
      <c r="C18" s="10" t="s">
        <v>168</v>
      </c>
      <c r="D18" s="9" t="n">
        <v>2237100</v>
      </c>
      <c r="E18" s="9" t="n">
        <v>3382413.42776276</v>
      </c>
      <c r="F18" s="22" t="n">
        <f aca="false">E18/D18</f>
        <v>1.51196344721414</v>
      </c>
      <c r="G18" s="7" t="s">
        <v>148</v>
      </c>
      <c r="H18" s="11" t="s">
        <v>169</v>
      </c>
    </row>
    <row r="19" customFormat="false" ht="33.75" hidden="false" customHeight="true" outlineLevel="0" collapsed="false">
      <c r="A19" s="10" t="n">
        <v>15</v>
      </c>
      <c r="B19" s="10" t="s">
        <v>111</v>
      </c>
      <c r="C19" s="10" t="s">
        <v>170</v>
      </c>
      <c r="D19" s="9" t="n">
        <v>2560290</v>
      </c>
      <c r="E19" s="9" t="n">
        <v>4000000</v>
      </c>
      <c r="F19" s="22" t="n">
        <f aca="false">E19/D19</f>
        <v>1.56232301809561</v>
      </c>
      <c r="G19" s="23" t="s">
        <v>145</v>
      </c>
      <c r="H19" s="11" t="s">
        <v>171</v>
      </c>
    </row>
    <row r="20" customFormat="false" ht="33.75" hidden="false" customHeight="true" outlineLevel="0" collapsed="false">
      <c r="A20" s="10" t="n">
        <v>16</v>
      </c>
      <c r="B20" s="10" t="s">
        <v>112</v>
      </c>
      <c r="C20" s="10" t="s">
        <v>172</v>
      </c>
      <c r="D20" s="9" t="n">
        <v>2266800</v>
      </c>
      <c r="E20" s="9" t="n">
        <v>1775300</v>
      </c>
      <c r="F20" s="22" t="n">
        <f aca="false">E20/D20</f>
        <v>0.783174519145933</v>
      </c>
      <c r="G20" s="24" t="s">
        <v>157</v>
      </c>
      <c r="H20" s="11" t="s">
        <v>173</v>
      </c>
    </row>
    <row r="21" customFormat="false" ht="33.75" hidden="false" customHeight="true" outlineLevel="0" collapsed="false">
      <c r="A21" s="10" t="n">
        <v>17</v>
      </c>
      <c r="B21" s="10" t="s">
        <v>113</v>
      </c>
      <c r="C21" s="10" t="s">
        <v>174</v>
      </c>
      <c r="D21" s="9" t="n">
        <v>3817380</v>
      </c>
      <c r="E21" s="9" t="n">
        <v>4598310</v>
      </c>
      <c r="F21" s="22" t="n">
        <f aca="false">E21/D21</f>
        <v>1.20457224588592</v>
      </c>
      <c r="G21" s="3" t="s">
        <v>160</v>
      </c>
      <c r="H21" s="11" t="s">
        <v>175</v>
      </c>
    </row>
    <row r="22" customFormat="false" ht="33.75" hidden="false" customHeight="true" outlineLevel="0" collapsed="false">
      <c r="A22" s="10" t="n">
        <v>18</v>
      </c>
      <c r="B22" s="10" t="s">
        <v>114</v>
      </c>
      <c r="C22" s="10" t="s">
        <v>156</v>
      </c>
      <c r="D22" s="9" t="n">
        <v>3999386</v>
      </c>
      <c r="E22" s="9" t="n">
        <v>3664292</v>
      </c>
      <c r="F22" s="22" t="n">
        <f aca="false">E22/D22</f>
        <v>0.916213638793555</v>
      </c>
      <c r="G22" s="24" t="s">
        <v>157</v>
      </c>
      <c r="H22" s="11" t="s">
        <v>158</v>
      </c>
    </row>
    <row r="23" customFormat="false" ht="33.75" hidden="false" customHeight="true" outlineLevel="0" collapsed="false">
      <c r="A23" s="10" t="n">
        <v>19</v>
      </c>
      <c r="B23" s="10" t="s">
        <v>115</v>
      </c>
      <c r="C23" s="10" t="s">
        <v>176</v>
      </c>
      <c r="D23" s="9" t="n">
        <v>14128067.6</v>
      </c>
      <c r="E23" s="9" t="n">
        <v>11668927.2</v>
      </c>
      <c r="F23" s="22" t="n">
        <f aca="false">E23/D23</f>
        <v>0.825939366258412</v>
      </c>
      <c r="G23" s="3" t="s">
        <v>160</v>
      </c>
      <c r="H23" s="11" t="s">
        <v>177</v>
      </c>
    </row>
    <row r="24" customFormat="false" ht="33.75" hidden="false" customHeight="true" outlineLevel="0" collapsed="false">
      <c r="A24" s="10" t="n">
        <v>20</v>
      </c>
      <c r="B24" s="10" t="s">
        <v>117</v>
      </c>
      <c r="C24" s="10" t="s">
        <v>172</v>
      </c>
      <c r="D24" s="9" t="n">
        <v>2266800</v>
      </c>
      <c r="E24" s="9" t="n">
        <v>1775300</v>
      </c>
      <c r="F24" s="22" t="n">
        <f aca="false">E24/D24</f>
        <v>0.783174519145933</v>
      </c>
      <c r="G24" s="24" t="s">
        <v>157</v>
      </c>
      <c r="H24" s="11" t="s">
        <v>173</v>
      </c>
    </row>
    <row r="25" customFormat="false" ht="33.75" hidden="false" customHeight="true" outlineLevel="0" collapsed="false">
      <c r="A25" s="10" t="n">
        <v>21</v>
      </c>
      <c r="B25" s="10" t="s">
        <v>118</v>
      </c>
      <c r="C25" s="10" t="s">
        <v>178</v>
      </c>
      <c r="D25" s="9" t="n">
        <v>2485731</v>
      </c>
      <c r="E25" s="9" t="n">
        <v>1516088</v>
      </c>
      <c r="F25" s="22" t="n">
        <f aca="false">E25/D25</f>
        <v>0.609916358608393</v>
      </c>
      <c r="G25" s="7" t="s">
        <v>148</v>
      </c>
      <c r="H25" s="11" t="s">
        <v>179</v>
      </c>
    </row>
    <row r="26" customFormat="false" ht="33.75" hidden="false" customHeight="true" outlineLevel="0" collapsed="false">
      <c r="A26" s="10" t="n">
        <v>22</v>
      </c>
      <c r="B26" s="10" t="s">
        <v>119</v>
      </c>
      <c r="C26" s="10" t="s">
        <v>180</v>
      </c>
      <c r="D26" s="25" t="n">
        <v>1</v>
      </c>
      <c r="E26" s="25" t="n">
        <v>0.90003402774407</v>
      </c>
      <c r="F26" s="22" t="n">
        <f aca="false">E26/D26</f>
        <v>0.90003402774407</v>
      </c>
      <c r="G26" s="23" t="s">
        <v>145</v>
      </c>
      <c r="H26" s="11" t="s">
        <v>181</v>
      </c>
    </row>
    <row r="27" customFormat="false" ht="33.75" hidden="false" customHeight="true" outlineLevel="0" collapsed="false">
      <c r="A27" s="10" t="n">
        <v>23</v>
      </c>
      <c r="B27" s="10" t="s">
        <v>120</v>
      </c>
      <c r="C27" s="10" t="s">
        <v>182</v>
      </c>
      <c r="D27" s="25" t="n">
        <v>1</v>
      </c>
      <c r="E27" s="25" t="n">
        <v>0.90003402774407</v>
      </c>
      <c r="F27" s="22" t="n">
        <f aca="false">E27/D27</f>
        <v>0.90003402774407</v>
      </c>
      <c r="G27" s="23" t="s">
        <v>145</v>
      </c>
      <c r="H27" s="11" t="s">
        <v>181</v>
      </c>
    </row>
    <row r="28" customFormat="false" ht="33.75" hidden="false" customHeight="true" outlineLevel="0" collapsed="false">
      <c r="A28" s="10" t="n">
        <v>24</v>
      </c>
      <c r="B28" s="10" t="s">
        <v>121</v>
      </c>
      <c r="C28" s="10" t="s">
        <v>183</v>
      </c>
      <c r="D28" s="9" t="n">
        <v>430000</v>
      </c>
      <c r="E28" s="9" t="n">
        <v>497000</v>
      </c>
      <c r="F28" s="22" t="n">
        <f aca="false">E28/D28</f>
        <v>1.15581395348837</v>
      </c>
      <c r="G28" s="7" t="s">
        <v>148</v>
      </c>
      <c r="H28" s="11" t="s">
        <v>184</v>
      </c>
    </row>
    <row r="29" customFormat="false" ht="33.75" hidden="false" customHeight="true" outlineLevel="0" collapsed="false">
      <c r="A29" s="10" t="n">
        <v>25</v>
      </c>
      <c r="B29" s="10" t="s">
        <v>122</v>
      </c>
      <c r="C29" s="10" t="s">
        <v>185</v>
      </c>
      <c r="D29" s="9" t="n">
        <v>1331500</v>
      </c>
      <c r="E29" s="9" t="n">
        <v>1353500</v>
      </c>
      <c r="F29" s="22" t="n">
        <f aca="false">E29/D29</f>
        <v>1.01652271873827</v>
      </c>
      <c r="G29" s="24" t="s">
        <v>157</v>
      </c>
      <c r="H29" s="11" t="s">
        <v>186</v>
      </c>
    </row>
    <row r="30" customFormat="false" ht="33.75" hidden="false" customHeight="true" outlineLevel="0" collapsed="false">
      <c r="A30" s="10" t="n">
        <v>26</v>
      </c>
      <c r="B30" s="10" t="s">
        <v>123</v>
      </c>
      <c r="C30" s="10" t="s">
        <v>156</v>
      </c>
      <c r="D30" s="9" t="n">
        <v>3999386</v>
      </c>
      <c r="E30" s="9" t="n">
        <v>3664292</v>
      </c>
      <c r="F30" s="22" t="n">
        <f aca="false">E30/D30</f>
        <v>0.916213638793555</v>
      </c>
      <c r="G30" s="24" t="s">
        <v>157</v>
      </c>
      <c r="H30" s="11" t="s">
        <v>158</v>
      </c>
    </row>
    <row r="32" customFormat="false" ht="15" hidden="false" customHeight="false" outlineLevel="0" collapsed="false">
      <c r="C32" s="27" t="s">
        <v>187</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34"/>
    <col collapsed="false" customWidth="true" hidden="false" outlineLevel="0" max="3" min="3" style="0" width="40"/>
    <col collapsed="false" customWidth="true" hidden="false" outlineLevel="0" max="5" min="4" style="0" width="16"/>
    <col collapsed="false" customWidth="true" hidden="false" outlineLevel="0" max="6" min="6" style="0" width="13"/>
    <col collapsed="false" customWidth="true" hidden="false" outlineLevel="0" max="7" min="7" style="0" width="8"/>
    <col collapsed="false" customWidth="true" hidden="false" outlineLevel="0" max="8" min="8" style="0" width="78"/>
  </cols>
  <sheetData>
    <row r="1" customFormat="false" ht="25.5" hidden="false" customHeight="true" outlineLevel="0" collapsed="false">
      <c r="A1" s="1" t="s">
        <v>188</v>
      </c>
      <c r="B1" s="1"/>
      <c r="C1" s="1"/>
      <c r="D1" s="1"/>
      <c r="E1" s="1"/>
      <c r="F1" s="1"/>
      <c r="G1" s="1"/>
      <c r="H1" s="1"/>
      <c r="I1" s="1"/>
      <c r="J1" s="1"/>
      <c r="K1" s="1"/>
      <c r="L1" s="1"/>
      <c r="M1" s="1"/>
      <c r="N1" s="1"/>
    </row>
    <row r="2" customFormat="false" ht="15" hidden="false" customHeight="false" outlineLevel="0" collapsed="false">
      <c r="A2" s="2" t="s">
        <v>189</v>
      </c>
      <c r="B2" s="2"/>
      <c r="C2" s="2"/>
      <c r="D2" s="2"/>
      <c r="E2" s="2"/>
      <c r="F2" s="2"/>
      <c r="G2" s="2"/>
      <c r="H2" s="2"/>
      <c r="I2" s="2"/>
      <c r="J2" s="2"/>
      <c r="K2" s="2"/>
      <c r="L2" s="2"/>
      <c r="M2" s="2"/>
      <c r="N2" s="2"/>
    </row>
    <row r="4" customFormat="false" ht="30" hidden="false" customHeight="true" outlineLevel="0" collapsed="false">
      <c r="A4" s="8" t="s">
        <v>91</v>
      </c>
      <c r="B4" s="8" t="s">
        <v>92</v>
      </c>
      <c r="C4" s="8" t="s">
        <v>138</v>
      </c>
      <c r="D4" s="8" t="s">
        <v>139</v>
      </c>
      <c r="E4" s="8" t="s">
        <v>140</v>
      </c>
      <c r="F4" s="8" t="s">
        <v>141</v>
      </c>
      <c r="G4" s="8" t="s">
        <v>142</v>
      </c>
      <c r="H4" s="8" t="s">
        <v>143</v>
      </c>
    </row>
    <row r="5" customFormat="false" ht="33.75" hidden="false" customHeight="true" outlineLevel="0" collapsed="false">
      <c r="A5" s="10" t="n">
        <v>1</v>
      </c>
      <c r="B5" s="10" t="s">
        <v>95</v>
      </c>
      <c r="C5" s="10" t="s">
        <v>190</v>
      </c>
      <c r="D5" s="25" t="n">
        <v>388.436</v>
      </c>
      <c r="E5" s="25" t="n">
        <v>525.276</v>
      </c>
      <c r="F5" s="22" t="n">
        <f aca="false">E5/D5</f>
        <v>1.35228454623155</v>
      </c>
      <c r="G5" s="24" t="s">
        <v>157</v>
      </c>
      <c r="H5" s="11" t="s">
        <v>191</v>
      </c>
    </row>
    <row r="6" customFormat="false" ht="33.75" hidden="false" customHeight="true" outlineLevel="0" collapsed="false">
      <c r="A6" s="10" t="n">
        <v>2</v>
      </c>
      <c r="B6" s="10" t="s">
        <v>97</v>
      </c>
      <c r="C6" s="10" t="s">
        <v>190</v>
      </c>
      <c r="D6" s="25" t="n">
        <v>388.436</v>
      </c>
      <c r="E6" s="25" t="n">
        <v>525.276</v>
      </c>
      <c r="F6" s="22" t="n">
        <f aca="false">E6/D6</f>
        <v>1.35228454623155</v>
      </c>
      <c r="G6" s="24" t="s">
        <v>157</v>
      </c>
      <c r="H6" s="11" t="s">
        <v>191</v>
      </c>
    </row>
    <row r="7" customFormat="false" ht="33.75" hidden="false" customHeight="true" outlineLevel="0" collapsed="false">
      <c r="A7" s="10" t="n">
        <v>3</v>
      </c>
      <c r="B7" s="10" t="s">
        <v>98</v>
      </c>
      <c r="C7" s="10" t="s">
        <v>190</v>
      </c>
      <c r="D7" s="25" t="n">
        <v>388.436</v>
      </c>
      <c r="E7" s="25" t="n">
        <v>525.276</v>
      </c>
      <c r="F7" s="22" t="n">
        <f aca="false">E7/D7</f>
        <v>1.35228454623155</v>
      </c>
      <c r="G7" s="24" t="s">
        <v>157</v>
      </c>
      <c r="H7" s="11" t="s">
        <v>191</v>
      </c>
    </row>
    <row r="8" customFormat="false" ht="33.75" hidden="false" customHeight="true" outlineLevel="0" collapsed="false">
      <c r="A8" s="10" t="n">
        <v>4</v>
      </c>
      <c r="B8" s="10" t="s">
        <v>99</v>
      </c>
      <c r="C8" s="10" t="s">
        <v>192</v>
      </c>
      <c r="D8" s="25" t="n">
        <v>1</v>
      </c>
      <c r="E8" s="25" t="n">
        <v>1.37898877195066</v>
      </c>
      <c r="F8" s="22" t="n">
        <f aca="false">E8/D8</f>
        <v>1.37898877195066</v>
      </c>
      <c r="G8" s="3" t="s">
        <v>160</v>
      </c>
      <c r="H8" s="11" t="s">
        <v>193</v>
      </c>
    </row>
    <row r="9" customFormat="false" ht="33.75" hidden="false" customHeight="true" outlineLevel="0" collapsed="false">
      <c r="A9" s="10" t="n">
        <v>5</v>
      </c>
      <c r="B9" s="10" t="s">
        <v>100</v>
      </c>
      <c r="C9" s="10" t="s">
        <v>190</v>
      </c>
      <c r="D9" s="25" t="n">
        <v>388.436</v>
      </c>
      <c r="E9" s="25" t="n">
        <v>525.276</v>
      </c>
      <c r="F9" s="22" t="n">
        <f aca="false">E9/D9</f>
        <v>1.35228454623155</v>
      </c>
      <c r="G9" s="24" t="s">
        <v>157</v>
      </c>
      <c r="H9" s="11" t="s">
        <v>191</v>
      </c>
    </row>
    <row r="10" customFormat="false" ht="33.75" hidden="false" customHeight="true" outlineLevel="0" collapsed="false">
      <c r="A10" s="10" t="n">
        <v>6</v>
      </c>
      <c r="B10" s="10" t="s">
        <v>101</v>
      </c>
      <c r="C10" s="10" t="s">
        <v>190</v>
      </c>
      <c r="D10" s="25" t="n">
        <v>388.436</v>
      </c>
      <c r="E10" s="25" t="n">
        <v>525.276</v>
      </c>
      <c r="F10" s="22" t="n">
        <f aca="false">E10/D10</f>
        <v>1.35228454623155</v>
      </c>
      <c r="G10" s="24" t="s">
        <v>157</v>
      </c>
      <c r="H10" s="11" t="s">
        <v>191</v>
      </c>
    </row>
    <row r="11" customFormat="false" ht="33.75" hidden="false" customHeight="true" outlineLevel="0" collapsed="false">
      <c r="A11" s="10" t="n">
        <v>7</v>
      </c>
      <c r="B11" s="10" t="s">
        <v>102</v>
      </c>
      <c r="C11" s="10" t="s">
        <v>194</v>
      </c>
      <c r="D11" s="25" t="n">
        <v>462.346</v>
      </c>
      <c r="E11" s="25" t="n">
        <v>554.923</v>
      </c>
      <c r="F11" s="22" t="n">
        <f aca="false">E11/D11</f>
        <v>1.20023315871663</v>
      </c>
      <c r="G11" s="24" t="s">
        <v>157</v>
      </c>
      <c r="H11" s="11" t="s">
        <v>195</v>
      </c>
    </row>
    <row r="12" customFormat="false" ht="33.75" hidden="false" customHeight="true" outlineLevel="0" collapsed="false">
      <c r="A12" s="10" t="n">
        <v>8</v>
      </c>
      <c r="B12" s="10" t="s">
        <v>103</v>
      </c>
      <c r="C12" s="10" t="s">
        <v>196</v>
      </c>
      <c r="D12" s="25" t="n">
        <v>29.72</v>
      </c>
      <c r="E12" s="25" t="n">
        <v>40.35</v>
      </c>
      <c r="F12" s="22" t="n">
        <f aca="false">E12/D12</f>
        <v>1.35767160161507</v>
      </c>
      <c r="G12" s="24" t="s">
        <v>157</v>
      </c>
      <c r="H12" s="11" t="s">
        <v>197</v>
      </c>
    </row>
    <row r="13" customFormat="false" ht="33.75" hidden="false" customHeight="true" outlineLevel="0" collapsed="false">
      <c r="A13" s="10" t="n">
        <v>9</v>
      </c>
      <c r="B13" s="10" t="s">
        <v>104</v>
      </c>
      <c r="C13" s="10" t="s">
        <v>198</v>
      </c>
      <c r="D13" s="25" t="n">
        <v>1</v>
      </c>
      <c r="E13" s="25" t="n">
        <v>1.01655804029608</v>
      </c>
      <c r="F13" s="22" t="n">
        <f aca="false">E13/D13</f>
        <v>1.01655804029608</v>
      </c>
      <c r="G13" s="3" t="s">
        <v>160</v>
      </c>
      <c r="H13" s="11" t="s">
        <v>199</v>
      </c>
    </row>
    <row r="14" customFormat="false" ht="33.75" hidden="false" customHeight="true" outlineLevel="0" collapsed="false">
      <c r="A14" s="10" t="n">
        <v>10</v>
      </c>
      <c r="B14" s="10" t="s">
        <v>105</v>
      </c>
      <c r="C14" s="10" t="s">
        <v>196</v>
      </c>
      <c r="D14" s="25" t="n">
        <v>29.72</v>
      </c>
      <c r="E14" s="25" t="n">
        <v>40.35</v>
      </c>
      <c r="F14" s="22" t="n">
        <f aca="false">E14/D14</f>
        <v>1.35767160161507</v>
      </c>
      <c r="G14" s="24" t="s">
        <v>157</v>
      </c>
      <c r="H14" s="11" t="s">
        <v>197</v>
      </c>
    </row>
    <row r="15" customFormat="false" ht="33.75" hidden="false" customHeight="true" outlineLevel="0" collapsed="false">
      <c r="A15" s="10" t="n">
        <v>11</v>
      </c>
      <c r="B15" s="10" t="s">
        <v>107</v>
      </c>
      <c r="C15" s="10" t="s">
        <v>196</v>
      </c>
      <c r="D15" s="25" t="n">
        <v>29.72</v>
      </c>
      <c r="E15" s="25" t="n">
        <v>40.35</v>
      </c>
      <c r="F15" s="22" t="n">
        <f aca="false">E15/D15</f>
        <v>1.35767160161507</v>
      </c>
      <c r="G15" s="24" t="s">
        <v>157</v>
      </c>
      <c r="H15" s="11" t="s">
        <v>197</v>
      </c>
    </row>
    <row r="16" customFormat="false" ht="33.75" hidden="false" customHeight="true" outlineLevel="0" collapsed="false">
      <c r="A16" s="10" t="n">
        <v>12</v>
      </c>
      <c r="B16" s="10" t="s">
        <v>108</v>
      </c>
      <c r="C16" s="10" t="s">
        <v>196</v>
      </c>
      <c r="D16" s="25" t="n">
        <v>29.72</v>
      </c>
      <c r="E16" s="25" t="n">
        <v>40.35</v>
      </c>
      <c r="F16" s="22" t="n">
        <f aca="false">E16/D16</f>
        <v>1.35767160161507</v>
      </c>
      <c r="G16" s="24" t="s">
        <v>157</v>
      </c>
      <c r="H16" s="11" t="s">
        <v>197</v>
      </c>
    </row>
    <row r="17" customFormat="false" ht="33.75" hidden="false" customHeight="true" outlineLevel="0" collapsed="false">
      <c r="A17" s="10" t="n">
        <v>13</v>
      </c>
      <c r="B17" s="10" t="s">
        <v>109</v>
      </c>
      <c r="C17" s="10" t="s">
        <v>196</v>
      </c>
      <c r="D17" s="25" t="n">
        <v>29.72</v>
      </c>
      <c r="E17" s="25" t="n">
        <v>40.35</v>
      </c>
      <c r="F17" s="22" t="n">
        <f aca="false">E17/D17</f>
        <v>1.35767160161507</v>
      </c>
      <c r="G17" s="24" t="s">
        <v>157</v>
      </c>
      <c r="H17" s="11" t="s">
        <v>197</v>
      </c>
    </row>
    <row r="18" customFormat="false" ht="33.75" hidden="false" customHeight="true" outlineLevel="0" collapsed="false">
      <c r="A18" s="10" t="n">
        <v>14</v>
      </c>
      <c r="B18" s="10" t="s">
        <v>110</v>
      </c>
      <c r="C18" s="10" t="s">
        <v>196</v>
      </c>
      <c r="D18" s="25" t="n">
        <v>29.72</v>
      </c>
      <c r="E18" s="25" t="n">
        <v>40.35</v>
      </c>
      <c r="F18" s="22" t="n">
        <f aca="false">E18/D18</f>
        <v>1.35767160161507</v>
      </c>
      <c r="G18" s="24" t="s">
        <v>157</v>
      </c>
      <c r="H18" s="11" t="s">
        <v>197</v>
      </c>
    </row>
    <row r="19" customFormat="false" ht="33.75" hidden="false" customHeight="true" outlineLevel="0" collapsed="false">
      <c r="A19" s="10" t="n">
        <v>15</v>
      </c>
      <c r="B19" s="10" t="s">
        <v>111</v>
      </c>
      <c r="C19" s="10" t="s">
        <v>196</v>
      </c>
      <c r="D19" s="25" t="n">
        <v>29.72</v>
      </c>
      <c r="E19" s="25" t="n">
        <v>40.35</v>
      </c>
      <c r="F19" s="22" t="n">
        <f aca="false">E19/D19</f>
        <v>1.35767160161507</v>
      </c>
      <c r="G19" s="24" t="s">
        <v>157</v>
      </c>
      <c r="H19" s="11" t="s">
        <v>197</v>
      </c>
    </row>
    <row r="20" customFormat="false" ht="33.75" hidden="false" customHeight="true" outlineLevel="0" collapsed="false">
      <c r="A20" s="10" t="n">
        <v>16</v>
      </c>
      <c r="B20" s="10" t="s">
        <v>112</v>
      </c>
      <c r="C20" s="10" t="s">
        <v>196</v>
      </c>
      <c r="D20" s="25" t="n">
        <v>29.72</v>
      </c>
      <c r="E20" s="25" t="n">
        <v>40.35</v>
      </c>
      <c r="F20" s="22" t="n">
        <f aca="false">E20/D20</f>
        <v>1.35767160161507</v>
      </c>
      <c r="G20" s="24" t="s">
        <v>157</v>
      </c>
      <c r="H20" s="11" t="s">
        <v>197</v>
      </c>
    </row>
    <row r="21" customFormat="false" ht="33.75" hidden="false" customHeight="true" outlineLevel="0" collapsed="false">
      <c r="A21" s="10" t="n">
        <v>17</v>
      </c>
      <c r="B21" s="10" t="s">
        <v>113</v>
      </c>
      <c r="C21" s="10" t="s">
        <v>196</v>
      </c>
      <c r="D21" s="25" t="n">
        <v>29.72</v>
      </c>
      <c r="E21" s="25" t="n">
        <v>40.35</v>
      </c>
      <c r="F21" s="22" t="n">
        <f aca="false">E21/D21</f>
        <v>1.35767160161507</v>
      </c>
      <c r="G21" s="24" t="s">
        <v>157</v>
      </c>
      <c r="H21" s="11" t="s">
        <v>197</v>
      </c>
    </row>
    <row r="22" customFormat="false" ht="33.75" hidden="false" customHeight="true" outlineLevel="0" collapsed="false">
      <c r="A22" s="10" t="n">
        <v>18</v>
      </c>
      <c r="B22" s="10" t="s">
        <v>114</v>
      </c>
      <c r="C22" s="10" t="s">
        <v>196</v>
      </c>
      <c r="D22" s="25" t="n">
        <v>29.72</v>
      </c>
      <c r="E22" s="25" t="n">
        <v>40.35</v>
      </c>
      <c r="F22" s="22" t="n">
        <f aca="false">E22/D22</f>
        <v>1.35767160161507</v>
      </c>
      <c r="G22" s="24" t="s">
        <v>157</v>
      </c>
      <c r="H22" s="11" t="s">
        <v>197</v>
      </c>
    </row>
    <row r="23" customFormat="false" ht="33.75" hidden="false" customHeight="true" outlineLevel="0" collapsed="false">
      <c r="A23" s="10" t="n">
        <v>19</v>
      </c>
      <c r="B23" s="10" t="s">
        <v>115</v>
      </c>
      <c r="C23" s="10" t="s">
        <v>200</v>
      </c>
      <c r="D23" s="25" t="n">
        <v>218.056</v>
      </c>
      <c r="E23" s="25" t="n">
        <v>270.97</v>
      </c>
      <c r="F23" s="22" t="n">
        <f aca="false">E23/D23</f>
        <v>1.24266243533771</v>
      </c>
      <c r="G23" s="24" t="s">
        <v>157</v>
      </c>
      <c r="H23" s="11" t="s">
        <v>201</v>
      </c>
    </row>
    <row r="24" customFormat="false" ht="33.75" hidden="false" customHeight="true" outlineLevel="0" collapsed="false">
      <c r="A24" s="10" t="n">
        <v>20</v>
      </c>
      <c r="B24" s="10" t="s">
        <v>117</v>
      </c>
      <c r="C24" s="10" t="s">
        <v>202</v>
      </c>
      <c r="D24" s="25" t="n">
        <v>1</v>
      </c>
      <c r="E24" s="25" t="n">
        <v>1.60296468257488</v>
      </c>
      <c r="F24" s="22" t="n">
        <f aca="false">E24/D24</f>
        <v>1.60296468257488</v>
      </c>
      <c r="G24" s="3" t="s">
        <v>160</v>
      </c>
      <c r="H24" s="11" t="s">
        <v>203</v>
      </c>
    </row>
    <row r="25" customFormat="false" ht="33.75" hidden="false" customHeight="true" outlineLevel="0" collapsed="false">
      <c r="A25" s="10" t="n">
        <v>21</v>
      </c>
      <c r="B25" s="10" t="s">
        <v>118</v>
      </c>
      <c r="C25" s="10" t="s">
        <v>204</v>
      </c>
      <c r="D25" s="25" t="n">
        <v>1</v>
      </c>
      <c r="E25" s="25" t="n">
        <v>2.21144476344123</v>
      </c>
      <c r="F25" s="22" t="n">
        <f aca="false">E25/D25</f>
        <v>2.21144476344123</v>
      </c>
      <c r="G25" s="7" t="s">
        <v>148</v>
      </c>
      <c r="H25" s="11" t="s">
        <v>205</v>
      </c>
    </row>
    <row r="26" customFormat="false" ht="33.75" hidden="false" customHeight="true" outlineLevel="0" collapsed="false">
      <c r="A26" s="10" t="n">
        <v>22</v>
      </c>
      <c r="B26" s="10" t="s">
        <v>119</v>
      </c>
      <c r="C26" s="10" t="s">
        <v>206</v>
      </c>
      <c r="D26" s="25" t="n">
        <v>1</v>
      </c>
      <c r="E26" s="25" t="n">
        <v>1.49860593689155</v>
      </c>
      <c r="F26" s="22" t="n">
        <f aca="false">E26/D26</f>
        <v>1.49860593689155</v>
      </c>
      <c r="G26" s="7" t="s">
        <v>148</v>
      </c>
      <c r="H26" s="11" t="s">
        <v>207</v>
      </c>
    </row>
    <row r="27" customFormat="false" ht="33.75" hidden="false" customHeight="true" outlineLevel="0" collapsed="false">
      <c r="A27" s="10" t="n">
        <v>23</v>
      </c>
      <c r="B27" s="10" t="s">
        <v>120</v>
      </c>
      <c r="C27" s="10" t="s">
        <v>208</v>
      </c>
      <c r="D27" s="25" t="n">
        <v>171.867</v>
      </c>
      <c r="E27" s="25" t="n">
        <v>243.233</v>
      </c>
      <c r="F27" s="22" t="n">
        <f aca="false">E27/D27</f>
        <v>1.41523969115653</v>
      </c>
      <c r="G27" s="24" t="s">
        <v>157</v>
      </c>
      <c r="H27" s="11" t="s">
        <v>209</v>
      </c>
    </row>
    <row r="28" customFormat="false" ht="33.75" hidden="false" customHeight="true" outlineLevel="0" collapsed="false">
      <c r="A28" s="10" t="n">
        <v>24</v>
      </c>
      <c r="B28" s="10" t="s">
        <v>121</v>
      </c>
      <c r="C28" s="10" t="s">
        <v>200</v>
      </c>
      <c r="D28" s="25" t="n">
        <v>218.056</v>
      </c>
      <c r="E28" s="25" t="n">
        <v>270.97</v>
      </c>
      <c r="F28" s="22" t="n">
        <f aca="false">E28/D28</f>
        <v>1.24266243533771</v>
      </c>
      <c r="G28" s="24" t="s">
        <v>157</v>
      </c>
      <c r="H28" s="11" t="s">
        <v>201</v>
      </c>
    </row>
    <row r="29" customFormat="false" ht="33.75" hidden="false" customHeight="true" outlineLevel="0" collapsed="false">
      <c r="A29" s="10" t="n">
        <v>25</v>
      </c>
      <c r="B29" s="10" t="s">
        <v>122</v>
      </c>
      <c r="C29" s="10" t="s">
        <v>210</v>
      </c>
      <c r="D29" s="25" t="n">
        <v>1</v>
      </c>
      <c r="E29" s="25" t="n">
        <v>1.45125208562474</v>
      </c>
      <c r="F29" s="22" t="n">
        <f aca="false">E29/D29</f>
        <v>1.45125208562474</v>
      </c>
      <c r="G29" s="3" t="s">
        <v>160</v>
      </c>
      <c r="H29" s="11" t="s">
        <v>211</v>
      </c>
    </row>
    <row r="30" customFormat="false" ht="33.75" hidden="false" customHeight="true" outlineLevel="0" collapsed="false">
      <c r="A30" s="10" t="n">
        <v>26</v>
      </c>
      <c r="B30" s="10" t="s">
        <v>123</v>
      </c>
      <c r="C30" s="10" t="s">
        <v>212</v>
      </c>
      <c r="D30" s="9" t="n">
        <v>10663</v>
      </c>
      <c r="E30" s="9" t="n">
        <v>14295</v>
      </c>
      <c r="F30" s="22" t="n">
        <f aca="false">E30/D30</f>
        <v>1.3406170871237</v>
      </c>
      <c r="G30" s="24" t="s">
        <v>157</v>
      </c>
      <c r="H30" s="11" t="s">
        <v>213</v>
      </c>
    </row>
    <row r="32" customFormat="false" ht="15" hidden="false" customHeight="false" outlineLevel="0" collapsed="false">
      <c r="C32" s="27" t="s">
        <v>187</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42"/>
    <col collapsed="false" customWidth="true" hidden="false" outlineLevel="0" max="3" min="3" style="0" width="19"/>
    <col collapsed="false" customWidth="true" hidden="false" outlineLevel="0" max="4" min="4" style="0" width="14"/>
    <col collapsed="false" customWidth="true" hidden="false" outlineLevel="0" max="5" min="5" style="0" width="15"/>
    <col collapsed="false" customWidth="true" hidden="false" outlineLevel="0" max="7" min="6" style="0" width="14"/>
    <col collapsed="false" customWidth="true" hidden="false" outlineLevel="0" max="9" min="8" style="0" width="18"/>
    <col collapsed="false" customWidth="true" hidden="false" outlineLevel="0" max="10" min="10" style="0" width="8"/>
    <col collapsed="false" customWidth="true" hidden="false" outlineLevel="0" max="11" min="11" style="0" width="14"/>
    <col collapsed="false" customWidth="true" hidden="false" outlineLevel="0" max="12" min="12" style="0" width="15"/>
  </cols>
  <sheetData>
    <row r="1" customFormat="false" ht="25.5" hidden="false" customHeight="true" outlineLevel="0" collapsed="false">
      <c r="A1" s="1" t="s">
        <v>214</v>
      </c>
      <c r="B1" s="1"/>
      <c r="C1" s="1"/>
      <c r="D1" s="1"/>
      <c r="E1" s="1"/>
      <c r="F1" s="1"/>
      <c r="G1" s="1"/>
      <c r="H1" s="1"/>
      <c r="I1" s="1"/>
      <c r="J1" s="1"/>
      <c r="K1" s="1"/>
      <c r="L1" s="1"/>
      <c r="M1" s="1"/>
      <c r="N1" s="1"/>
    </row>
    <row r="2" customFormat="false" ht="15" hidden="false" customHeight="false" outlineLevel="0" collapsed="false">
      <c r="A2" s="2" t="s">
        <v>215</v>
      </c>
      <c r="B2" s="2"/>
      <c r="C2" s="2"/>
      <c r="D2" s="2"/>
      <c r="E2" s="2"/>
      <c r="F2" s="2"/>
      <c r="G2" s="2"/>
      <c r="H2" s="2"/>
      <c r="I2" s="2"/>
      <c r="J2" s="2"/>
      <c r="K2" s="2"/>
      <c r="L2" s="2"/>
      <c r="M2" s="2"/>
      <c r="N2" s="2"/>
    </row>
    <row r="4" customFormat="false" ht="30" hidden="false" customHeight="true" outlineLevel="0" collapsed="false">
      <c r="A4" s="8" t="s">
        <v>91</v>
      </c>
      <c r="B4" s="8" t="s">
        <v>92</v>
      </c>
      <c r="C4" s="8" t="s">
        <v>93</v>
      </c>
      <c r="D4" s="8" t="s">
        <v>216</v>
      </c>
      <c r="E4" s="8" t="s">
        <v>217</v>
      </c>
      <c r="F4" s="8" t="s">
        <v>218</v>
      </c>
      <c r="G4" s="8" t="s">
        <v>219</v>
      </c>
      <c r="H4" s="8" t="s">
        <v>220</v>
      </c>
      <c r="I4" s="8" t="s">
        <v>221</v>
      </c>
      <c r="J4" s="8" t="s">
        <v>142</v>
      </c>
      <c r="K4" s="8" t="s">
        <v>222</v>
      </c>
      <c r="L4" s="8" t="s">
        <v>223</v>
      </c>
    </row>
    <row r="5" customFormat="false" ht="15" hidden="false" customHeight="false" outlineLevel="0" collapsed="false">
      <c r="A5" s="10" t="n">
        <v>1</v>
      </c>
      <c r="B5" s="10" t="s">
        <v>95</v>
      </c>
      <c r="C5" s="10" t="s">
        <v>96</v>
      </c>
      <c r="D5" s="28" t="n">
        <f aca="false">02_2010_BASELINE!D5</f>
        <v>12044.6</v>
      </c>
      <c r="E5" s="29" t="n">
        <f aca="false">04_INCIDENCE_FACTORS!F5</f>
        <v>1.00484357741356</v>
      </c>
      <c r="F5" s="29" t="n">
        <f aca="false">05_PRICE_FACTORS!F5</f>
        <v>1.35228454623155</v>
      </c>
      <c r="G5" s="22" t="n">
        <f aca="false">E5*F5</f>
        <v>1.35883444111639</v>
      </c>
      <c r="H5" s="17" t="n">
        <f aca="false">D5*G5</f>
        <v>16366.6173094705</v>
      </c>
      <c r="I5" s="15" t="n">
        <v>16366.6173094705</v>
      </c>
      <c r="J5" s="23" t="s">
        <v>145</v>
      </c>
      <c r="K5" s="19" t="n">
        <f aca="false">H5/D5-1</f>
        <v>0.358834441116388</v>
      </c>
      <c r="L5" s="27" t="s">
        <v>224</v>
      </c>
    </row>
    <row r="6" customFormat="false" ht="15" hidden="false" customHeight="false" outlineLevel="0" collapsed="false">
      <c r="A6" s="10" t="n">
        <v>2</v>
      </c>
      <c r="B6" s="10" t="s">
        <v>97</v>
      </c>
      <c r="C6" s="10" t="s">
        <v>96</v>
      </c>
      <c r="D6" s="28" t="n">
        <f aca="false">02_2010_BASELINE!D6</f>
        <v>5948.5</v>
      </c>
      <c r="E6" s="29" t="n">
        <f aca="false">04_INCIDENCE_FACTORS!F6</f>
        <v>1.51196344721414</v>
      </c>
      <c r="F6" s="29" t="n">
        <f aca="false">05_PRICE_FACTORS!F6</f>
        <v>1.35228454623155</v>
      </c>
      <c r="G6" s="22" t="n">
        <f aca="false">E6*F6</f>
        <v>2.04460480413467</v>
      </c>
      <c r="H6" s="17" t="n">
        <f aca="false">D6*G6</f>
        <v>12162.3316773951</v>
      </c>
      <c r="I6" s="15" t="n">
        <v>12162.3316773951</v>
      </c>
      <c r="J6" s="7" t="s">
        <v>148</v>
      </c>
      <c r="K6" s="19" t="n">
        <f aca="false">H6/D6-1</f>
        <v>1.04460480413467</v>
      </c>
      <c r="L6" s="27" t="s">
        <v>225</v>
      </c>
    </row>
    <row r="7" customFormat="false" ht="15" hidden="false" customHeight="false" outlineLevel="0" collapsed="false">
      <c r="A7" s="10" t="n">
        <v>3</v>
      </c>
      <c r="B7" s="10" t="s">
        <v>98</v>
      </c>
      <c r="C7" s="10" t="s">
        <v>96</v>
      </c>
      <c r="D7" s="28" t="n">
        <f aca="false">02_2010_BASELINE!D7</f>
        <v>1524.5</v>
      </c>
      <c r="E7" s="29" t="n">
        <f aca="false">04_INCIDENCE_FACTORS!F7</f>
        <v>1.65271872902215</v>
      </c>
      <c r="F7" s="29" t="n">
        <f aca="false">05_PRICE_FACTORS!F7</f>
        <v>1.35228454623155</v>
      </c>
      <c r="G7" s="22" t="n">
        <f aca="false">E7*F7</f>
        <v>2.23494599652411</v>
      </c>
      <c r="H7" s="17" t="n">
        <f aca="false">D7*G7</f>
        <v>3407.17517170101</v>
      </c>
      <c r="I7" s="15" t="n">
        <v>2966.24662006911</v>
      </c>
      <c r="J7" s="23" t="s">
        <v>145</v>
      </c>
      <c r="K7" s="19" t="n">
        <f aca="false">H7/D7-1</f>
        <v>1.23494599652411</v>
      </c>
      <c r="L7" s="27" t="s">
        <v>225</v>
      </c>
    </row>
    <row r="8" customFormat="false" ht="15" hidden="false" customHeight="false" outlineLevel="0" collapsed="false">
      <c r="A8" s="10" t="n">
        <v>4</v>
      </c>
      <c r="B8" s="10" t="s">
        <v>99</v>
      </c>
      <c r="C8" s="10" t="s">
        <v>96</v>
      </c>
      <c r="D8" s="28" t="n">
        <f aca="false">02_2010_BASELINE!D8</f>
        <v>1166.8</v>
      </c>
      <c r="E8" s="29" t="n">
        <f aca="false">04_INCIDENCE_FACTORS!F8</f>
        <v>0.93575196935752</v>
      </c>
      <c r="F8" s="29" t="n">
        <f aca="false">05_PRICE_FACTORS!F8</f>
        <v>1.37898877195066</v>
      </c>
      <c r="G8" s="22" t="n">
        <f aca="false">E8*F8</f>
        <v>1.29039145907473</v>
      </c>
      <c r="H8" s="17" t="n">
        <f aca="false">D8*G8</f>
        <v>1505.6287544484</v>
      </c>
      <c r="I8" s="15" t="n">
        <v>1505.6287544484</v>
      </c>
      <c r="J8" s="7" t="s">
        <v>148</v>
      </c>
      <c r="K8" s="19" t="n">
        <f aca="false">H8/D8-1</f>
        <v>0.290391459074733</v>
      </c>
      <c r="L8" s="27" t="s">
        <v>225</v>
      </c>
    </row>
    <row r="9" customFormat="false" ht="15" hidden="false" customHeight="false" outlineLevel="0" collapsed="false">
      <c r="A9" s="10" t="n">
        <v>5</v>
      </c>
      <c r="B9" s="10" t="s">
        <v>100</v>
      </c>
      <c r="C9" s="10" t="s">
        <v>96</v>
      </c>
      <c r="D9" s="28" t="n">
        <f aca="false">02_2010_BASELINE!D9</f>
        <v>1545.5</v>
      </c>
      <c r="E9" s="29" t="n">
        <f aca="false">04_INCIDENCE_FACTORS!F9</f>
        <v>1.65271872902215</v>
      </c>
      <c r="F9" s="29" t="n">
        <f aca="false">05_PRICE_FACTORS!F9</f>
        <v>1.35228454623155</v>
      </c>
      <c r="G9" s="22" t="n">
        <f aca="false">E9*F9</f>
        <v>2.23494599652411</v>
      </c>
      <c r="H9" s="17" t="n">
        <f aca="false">D9*G9</f>
        <v>3454.10903762802</v>
      </c>
      <c r="I9" s="15" t="n">
        <v>3007.10669158204</v>
      </c>
      <c r="J9" s="23" t="s">
        <v>145</v>
      </c>
      <c r="K9" s="19" t="n">
        <f aca="false">H9/D9-1</f>
        <v>1.23494599652411</v>
      </c>
      <c r="L9" s="27" t="s">
        <v>225</v>
      </c>
    </row>
    <row r="10" customFormat="false" ht="15" hidden="false" customHeight="false" outlineLevel="0" collapsed="false">
      <c r="A10" s="10" t="n">
        <v>6</v>
      </c>
      <c r="B10" s="10" t="s">
        <v>101</v>
      </c>
      <c r="C10" s="10" t="s">
        <v>96</v>
      </c>
      <c r="D10" s="28" t="n">
        <f aca="false">02_2010_BASELINE!D10</f>
        <v>2750</v>
      </c>
      <c r="E10" s="29" t="n">
        <f aca="false">04_INCIDENCE_FACTORS!F10</f>
        <v>0.916213638793555</v>
      </c>
      <c r="F10" s="29" t="n">
        <f aca="false">05_PRICE_FACTORS!F10</f>
        <v>1.35228454623155</v>
      </c>
      <c r="G10" s="22" t="n">
        <f aca="false">E10*F10</f>
        <v>1.2389815447871</v>
      </c>
      <c r="H10" s="17" t="n">
        <f aca="false">D10*G10</f>
        <v>3407.19924816453</v>
      </c>
      <c r="I10" s="15" t="n">
        <v>5385.5730051633</v>
      </c>
      <c r="J10" s="24" t="s">
        <v>157</v>
      </c>
      <c r="K10" s="19" t="n">
        <f aca="false">H10/D10-1</f>
        <v>0.238981544787103</v>
      </c>
      <c r="L10" s="27" t="s">
        <v>226</v>
      </c>
    </row>
    <row r="11" customFormat="false" ht="15" hidden="false" customHeight="false" outlineLevel="0" collapsed="false">
      <c r="A11" s="10" t="n">
        <v>7</v>
      </c>
      <c r="B11" s="10" t="s">
        <v>102</v>
      </c>
      <c r="C11" s="10" t="s">
        <v>96</v>
      </c>
      <c r="D11" s="28" t="n">
        <f aca="false">02_2010_BASELINE!D11</f>
        <v>1048.8</v>
      </c>
      <c r="E11" s="29" t="n">
        <f aca="false">04_INCIDENCE_FACTORS!F11</f>
        <v>1</v>
      </c>
      <c r="F11" s="29" t="n">
        <f aca="false">05_PRICE_FACTORS!F11</f>
        <v>1.20023315871663</v>
      </c>
      <c r="G11" s="22" t="n">
        <f aca="false">E11*F11</f>
        <v>1.20023315871663</v>
      </c>
      <c r="H11" s="17" t="n">
        <f aca="false">D11*G11</f>
        <v>1258.804536862</v>
      </c>
      <c r="I11" s="15" t="n">
        <v>1258.804536862</v>
      </c>
      <c r="J11" s="3" t="s">
        <v>160</v>
      </c>
      <c r="K11" s="19" t="n">
        <f aca="false">H11/D11-1</f>
        <v>0.200233158716632</v>
      </c>
      <c r="L11" s="27" t="s">
        <v>226</v>
      </c>
    </row>
    <row r="12" customFormat="false" ht="15" hidden="false" customHeight="false" outlineLevel="0" collapsed="false">
      <c r="A12" s="10" t="n">
        <v>8</v>
      </c>
      <c r="B12" s="10" t="s">
        <v>103</v>
      </c>
      <c r="C12" s="10" t="s">
        <v>96</v>
      </c>
      <c r="D12" s="28" t="n">
        <f aca="false">02_2010_BASELINE!D12</f>
        <v>34.8</v>
      </c>
      <c r="E12" s="29" t="n">
        <f aca="false">04_INCIDENCE_FACTORS!F12</f>
        <v>1.2</v>
      </c>
      <c r="F12" s="29" t="n">
        <f aca="false">05_PRICE_FACTORS!F12</f>
        <v>1.35767160161507</v>
      </c>
      <c r="G12" s="22" t="n">
        <f aca="false">E12*F12</f>
        <v>1.62920592193809</v>
      </c>
      <c r="H12" s="17" t="n">
        <f aca="false">D12*G12</f>
        <v>56.6963660834455</v>
      </c>
      <c r="I12" s="15" t="n">
        <v>56.6963660834455</v>
      </c>
      <c r="J12" s="23" t="s">
        <v>145</v>
      </c>
      <c r="K12" s="19" t="n">
        <f aca="false">H12/D12-1</f>
        <v>0.629205921938089</v>
      </c>
      <c r="L12" s="27" t="s">
        <v>226</v>
      </c>
    </row>
    <row r="13" customFormat="false" ht="15" hidden="false" customHeight="false" outlineLevel="0" collapsed="false">
      <c r="A13" s="10" t="n">
        <v>9</v>
      </c>
      <c r="B13" s="10" t="s">
        <v>104</v>
      </c>
      <c r="C13" s="10" t="s">
        <v>96</v>
      </c>
      <c r="D13" s="28" t="n">
        <f aca="false">02_2010_BASELINE!D13</f>
        <v>2315.6</v>
      </c>
      <c r="E13" s="29" t="n">
        <f aca="false">04_INCIDENCE_FACTORS!F13</f>
        <v>1.61341963734072</v>
      </c>
      <c r="F13" s="29" t="n">
        <f aca="false">05_PRICE_FACTORS!F13</f>
        <v>1.01655804029608</v>
      </c>
      <c r="G13" s="22" t="n">
        <f aca="false">E13*F13</f>
        <v>1.6401347047103</v>
      </c>
      <c r="H13" s="17" t="n">
        <f aca="false">D13*G13</f>
        <v>3797.89592222716</v>
      </c>
      <c r="I13" s="15" t="n">
        <v>3900.65209919366</v>
      </c>
      <c r="J13" s="3" t="s">
        <v>160</v>
      </c>
      <c r="K13" s="19" t="n">
        <f aca="false">H13/D13-1</f>
        <v>0.640134704710295</v>
      </c>
      <c r="L13" s="27" t="s">
        <v>224</v>
      </c>
    </row>
    <row r="14" customFormat="false" ht="15" hidden="false" customHeight="false" outlineLevel="0" collapsed="false">
      <c r="A14" s="10" t="n">
        <v>10</v>
      </c>
      <c r="B14" s="10" t="s">
        <v>105</v>
      </c>
      <c r="C14" s="10" t="s">
        <v>106</v>
      </c>
      <c r="D14" s="28" t="n">
        <f aca="false">02_2010_BASELINE!D14</f>
        <v>76858.6</v>
      </c>
      <c r="E14" s="29" t="n">
        <f aca="false">04_INCIDENCE_FACTORS!F14</f>
        <v>1.65271872902215</v>
      </c>
      <c r="F14" s="29" t="n">
        <f aca="false">05_PRICE_FACTORS!F14</f>
        <v>1.35767160161507</v>
      </c>
      <c r="G14" s="22" t="n">
        <f aca="false">E14*F14</f>
        <v>2.24384928385074</v>
      </c>
      <c r="H14" s="17" t="n">
        <f aca="false">D14*G14</f>
        <v>172459.11456777</v>
      </c>
      <c r="I14" s="15" t="n">
        <v>150140.876211941</v>
      </c>
      <c r="J14" s="23" t="s">
        <v>145</v>
      </c>
      <c r="K14" s="19" t="n">
        <f aca="false">H14/D14-1</f>
        <v>1.24384928385074</v>
      </c>
      <c r="L14" s="27" t="s">
        <v>227</v>
      </c>
    </row>
    <row r="15" customFormat="false" ht="15" hidden="false" customHeight="false" outlineLevel="0" collapsed="false">
      <c r="A15" s="10" t="n">
        <v>11</v>
      </c>
      <c r="B15" s="10" t="s">
        <v>107</v>
      </c>
      <c r="C15" s="10" t="s">
        <v>106</v>
      </c>
      <c r="D15" s="28" t="n">
        <f aca="false">02_2010_BASELINE!D15</f>
        <v>6218</v>
      </c>
      <c r="E15" s="29" t="n">
        <f aca="false">04_INCIDENCE_FACTORS!F15</f>
        <v>1.65271872902215</v>
      </c>
      <c r="F15" s="29" t="n">
        <f aca="false">05_PRICE_FACTORS!F15</f>
        <v>1.35767160161507</v>
      </c>
      <c r="G15" s="22" t="n">
        <f aca="false">E15*F15</f>
        <v>2.24384928385074</v>
      </c>
      <c r="H15" s="17" t="n">
        <f aca="false">D15*G15</f>
        <v>13952.2548469839</v>
      </c>
      <c r="I15" s="15" t="n">
        <v>12146.6689256095</v>
      </c>
      <c r="J15" s="23" t="s">
        <v>145</v>
      </c>
      <c r="K15" s="19" t="n">
        <f aca="false">H15/D15-1</f>
        <v>1.24384928385074</v>
      </c>
      <c r="L15" s="27" t="s">
        <v>227</v>
      </c>
    </row>
    <row r="16" customFormat="false" ht="15" hidden="false" customHeight="false" outlineLevel="0" collapsed="false">
      <c r="A16" s="10" t="n">
        <v>12</v>
      </c>
      <c r="B16" s="10" t="s">
        <v>108</v>
      </c>
      <c r="C16" s="10" t="s">
        <v>106</v>
      </c>
      <c r="D16" s="28" t="n">
        <f aca="false">02_2010_BASELINE!D16</f>
        <v>4619.9</v>
      </c>
      <c r="E16" s="29" t="n">
        <f aca="false">04_INCIDENCE_FACTORS!F16</f>
        <v>1.02543125533732</v>
      </c>
      <c r="F16" s="29" t="n">
        <f aca="false">05_PRICE_FACTORS!F16</f>
        <v>1.35767160161507</v>
      </c>
      <c r="G16" s="22" t="n">
        <f aca="false">E16*F16</f>
        <v>1.39219889477997</v>
      </c>
      <c r="H16" s="17" t="n">
        <f aca="false">D16*G16</f>
        <v>6431.819673994</v>
      </c>
      <c r="I16" s="15" t="n">
        <v>6431.819673994</v>
      </c>
      <c r="J16" s="7" t="s">
        <v>148</v>
      </c>
      <c r="K16" s="19" t="n">
        <f aca="false">H16/D16-1</f>
        <v>0.392198894779973</v>
      </c>
      <c r="L16" s="27" t="s">
        <v>228</v>
      </c>
    </row>
    <row r="17" customFormat="false" ht="15" hidden="false" customHeight="false" outlineLevel="0" collapsed="false">
      <c r="A17" s="10" t="n">
        <v>13</v>
      </c>
      <c r="B17" s="10" t="s">
        <v>109</v>
      </c>
      <c r="C17" s="10" t="s">
        <v>106</v>
      </c>
      <c r="D17" s="28" t="n">
        <f aca="false">02_2010_BASELINE!D17</f>
        <v>1983.4</v>
      </c>
      <c r="E17" s="29" t="n">
        <f aca="false">04_INCIDENCE_FACTORS!F17</f>
        <v>1.00484357741356</v>
      </c>
      <c r="F17" s="29" t="n">
        <f aca="false">05_PRICE_FACTORS!F17</f>
        <v>1.35767160161507</v>
      </c>
      <c r="G17" s="22" t="n">
        <f aca="false">E17*F17</f>
        <v>1.36424758911969</v>
      </c>
      <c r="H17" s="17" t="n">
        <f aca="false">D17*G17</f>
        <v>2705.84866825999</v>
      </c>
      <c r="I17" s="15" t="n">
        <v>2705.84866825999</v>
      </c>
      <c r="J17" s="23" t="s">
        <v>145</v>
      </c>
      <c r="K17" s="19" t="n">
        <f aca="false">H17/D17-1</f>
        <v>0.364247589119689</v>
      </c>
      <c r="L17" s="27" t="s">
        <v>227</v>
      </c>
    </row>
    <row r="18" customFormat="false" ht="15" hidden="false" customHeight="false" outlineLevel="0" collapsed="false">
      <c r="A18" s="10" t="n">
        <v>14</v>
      </c>
      <c r="B18" s="10" t="s">
        <v>110</v>
      </c>
      <c r="C18" s="10" t="s">
        <v>106</v>
      </c>
      <c r="D18" s="28" t="n">
        <f aca="false">02_2010_BASELINE!D18</f>
        <v>228.4</v>
      </c>
      <c r="E18" s="29" t="n">
        <f aca="false">04_INCIDENCE_FACTORS!F18</f>
        <v>1.51196344721414</v>
      </c>
      <c r="F18" s="29" t="n">
        <f aca="false">05_PRICE_FACTORS!F18</f>
        <v>1.35767160161507</v>
      </c>
      <c r="G18" s="22" t="n">
        <f aca="false">E18*F18</f>
        <v>2.05274983496267</v>
      </c>
      <c r="H18" s="17" t="n">
        <f aca="false">D18*G18</f>
        <v>468.848062305475</v>
      </c>
      <c r="I18" s="15" t="n">
        <v>468.848062305475</v>
      </c>
      <c r="J18" s="7" t="s">
        <v>148</v>
      </c>
      <c r="K18" s="19" t="n">
        <f aca="false">H18/D18-1</f>
        <v>1.05274983496267</v>
      </c>
      <c r="L18" s="27" t="s">
        <v>227</v>
      </c>
    </row>
    <row r="19" customFormat="false" ht="15" hidden="false" customHeight="false" outlineLevel="0" collapsed="false">
      <c r="A19" s="10" t="n">
        <v>15</v>
      </c>
      <c r="B19" s="10" t="s">
        <v>111</v>
      </c>
      <c r="C19" s="10" t="s">
        <v>106</v>
      </c>
      <c r="D19" s="28" t="n">
        <f aca="false">02_2010_BASELINE!D19</f>
        <v>75204.5</v>
      </c>
      <c r="E19" s="29" t="n">
        <f aca="false">04_INCIDENCE_FACTORS!F19</f>
        <v>1.56232301809561</v>
      </c>
      <c r="F19" s="29" t="n">
        <f aca="false">05_PRICE_FACTORS!F19</f>
        <v>1.35767160161507</v>
      </c>
      <c r="G19" s="22" t="n">
        <f aca="false">E19*F19</f>
        <v>2.12112159421796</v>
      </c>
      <c r="H19" s="17" t="n">
        <f aca="false">D19*G19</f>
        <v>159517.888932364</v>
      </c>
      <c r="I19" s="15" t="n">
        <v>125996.709865696</v>
      </c>
      <c r="J19" s="23" t="s">
        <v>145</v>
      </c>
      <c r="K19" s="19" t="n">
        <f aca="false">H19/D19-1</f>
        <v>1.12112159421796</v>
      </c>
      <c r="L19" s="27" t="s">
        <v>227</v>
      </c>
    </row>
    <row r="20" customFormat="false" ht="15" hidden="false" customHeight="false" outlineLevel="0" collapsed="false">
      <c r="A20" s="10" t="n">
        <v>16</v>
      </c>
      <c r="B20" s="10" t="s">
        <v>112</v>
      </c>
      <c r="C20" s="10" t="s">
        <v>106</v>
      </c>
      <c r="D20" s="28" t="n">
        <f aca="false">02_2010_BASELINE!D20</f>
        <v>9150.5</v>
      </c>
      <c r="E20" s="29" t="n">
        <f aca="false">04_INCIDENCE_FACTORS!F20</f>
        <v>0.783174519145933</v>
      </c>
      <c r="F20" s="29" t="n">
        <f aca="false">05_PRICE_FACTORS!F20</f>
        <v>1.35767160161507</v>
      </c>
      <c r="G20" s="22" t="n">
        <f aca="false">E20*F20</f>
        <v>1.06329380375297</v>
      </c>
      <c r="H20" s="17" t="n">
        <f aca="false">D20*G20</f>
        <v>9729.66995124159</v>
      </c>
      <c r="I20" s="15" t="n">
        <v>9729.66995124159</v>
      </c>
      <c r="J20" s="24" t="s">
        <v>157</v>
      </c>
      <c r="K20" s="19" t="n">
        <f aca="false">H20/D20-1</f>
        <v>0.0632938037529738</v>
      </c>
      <c r="L20" s="27" t="s">
        <v>228</v>
      </c>
    </row>
    <row r="21" customFormat="false" ht="15" hidden="false" customHeight="false" outlineLevel="0" collapsed="false">
      <c r="A21" s="10" t="n">
        <v>17</v>
      </c>
      <c r="B21" s="10" t="s">
        <v>113</v>
      </c>
      <c r="C21" s="10" t="s">
        <v>106</v>
      </c>
      <c r="D21" s="28" t="n">
        <f aca="false">02_2010_BASELINE!D21</f>
        <v>2704.8</v>
      </c>
      <c r="E21" s="29" t="n">
        <f aca="false">04_INCIDENCE_FACTORS!F21</f>
        <v>1.20457224588592</v>
      </c>
      <c r="F21" s="29" t="n">
        <f aca="false">05_PRICE_FACTORS!F21</f>
        <v>1.35767160161507</v>
      </c>
      <c r="G21" s="22" t="n">
        <f aca="false">E21*F21</f>
        <v>1.63541353033301</v>
      </c>
      <c r="H21" s="17" t="n">
        <f aca="false">D21*G21</f>
        <v>4423.46651684472</v>
      </c>
      <c r="I21" s="15" t="n">
        <v>4423.46651684472</v>
      </c>
      <c r="J21" s="3" t="s">
        <v>160</v>
      </c>
      <c r="K21" s="19" t="n">
        <f aca="false">H21/D21-1</f>
        <v>0.635413530333006</v>
      </c>
      <c r="L21" s="27" t="s">
        <v>229</v>
      </c>
    </row>
    <row r="22" customFormat="false" ht="15" hidden="false" customHeight="false" outlineLevel="0" collapsed="false">
      <c r="A22" s="10" t="n">
        <v>18</v>
      </c>
      <c r="B22" s="10" t="s">
        <v>114</v>
      </c>
      <c r="C22" s="10" t="s">
        <v>106</v>
      </c>
      <c r="D22" s="28" t="n">
        <f aca="false">02_2010_BASELINE!D22</f>
        <v>2116.8</v>
      </c>
      <c r="E22" s="29" t="n">
        <f aca="false">04_INCIDENCE_FACTORS!F22</f>
        <v>0.916213638793555</v>
      </c>
      <c r="F22" s="29" t="n">
        <f aca="false">05_PRICE_FACTORS!F22</f>
        <v>1.35767160161507</v>
      </c>
      <c r="G22" s="22" t="n">
        <f aca="false">E22*F22</f>
        <v>1.24391723840242</v>
      </c>
      <c r="H22" s="17" t="n">
        <f aca="false">D22*G22</f>
        <v>2633.12401025024</v>
      </c>
      <c r="I22" s="15" t="n">
        <v>4162.03472587942</v>
      </c>
      <c r="J22" s="24" t="s">
        <v>157</v>
      </c>
      <c r="K22" s="19" t="n">
        <f aca="false">H22/D22-1</f>
        <v>0.24391723840242</v>
      </c>
      <c r="L22" s="27" t="s">
        <v>229</v>
      </c>
    </row>
    <row r="23" customFormat="false" ht="15" hidden="false" customHeight="false" outlineLevel="0" collapsed="false">
      <c r="A23" s="10" t="n">
        <v>19</v>
      </c>
      <c r="B23" s="10" t="s">
        <v>115</v>
      </c>
      <c r="C23" s="10" t="s">
        <v>116</v>
      </c>
      <c r="D23" s="28" t="n">
        <f aca="false">02_2010_BASELINE!D23</f>
        <v>559.4</v>
      </c>
      <c r="E23" s="29" t="n">
        <f aca="false">04_INCIDENCE_FACTORS!F23</f>
        <v>0.825939366258412</v>
      </c>
      <c r="F23" s="29" t="n">
        <f aca="false">05_PRICE_FACTORS!F23</f>
        <v>1.24266243533771</v>
      </c>
      <c r="G23" s="22" t="n">
        <f aca="false">E23*F23</f>
        <v>1.02636382431596</v>
      </c>
      <c r="H23" s="17" t="n">
        <f aca="false">D23*G23</f>
        <v>574.14792332235</v>
      </c>
      <c r="I23" s="15" t="n">
        <v>574.14792332235</v>
      </c>
      <c r="J23" s="3" t="s">
        <v>160</v>
      </c>
      <c r="K23" s="19" t="n">
        <f aca="false">H23/D23-1</f>
        <v>0.0263638243159638</v>
      </c>
      <c r="L23" s="27" t="s">
        <v>226</v>
      </c>
    </row>
    <row r="24" customFormat="false" ht="15" hidden="false" customHeight="false" outlineLevel="0" collapsed="false">
      <c r="A24" s="10" t="n">
        <v>20</v>
      </c>
      <c r="B24" s="10" t="s">
        <v>117</v>
      </c>
      <c r="C24" s="10" t="s">
        <v>116</v>
      </c>
      <c r="D24" s="28" t="n">
        <f aca="false">02_2010_BASELINE!D24</f>
        <v>15865.9</v>
      </c>
      <c r="E24" s="29" t="n">
        <f aca="false">04_INCIDENCE_FACTORS!F24</f>
        <v>0.783174519145933</v>
      </c>
      <c r="F24" s="29" t="n">
        <f aca="false">05_PRICE_FACTORS!F24</f>
        <v>1.60296468257488</v>
      </c>
      <c r="G24" s="22" t="n">
        <f aca="false">E24*F24</f>
        <v>1.25540109448349</v>
      </c>
      <c r="H24" s="17" t="n">
        <f aca="false">D24*G24</f>
        <v>19918.0682249656</v>
      </c>
      <c r="I24" s="15" t="n">
        <v>19918.0682249656</v>
      </c>
      <c r="J24" s="3" t="s">
        <v>160</v>
      </c>
      <c r="K24" s="19" t="n">
        <f aca="false">H24/D24-1</f>
        <v>0.255401094483492</v>
      </c>
      <c r="L24" s="27" t="s">
        <v>230</v>
      </c>
    </row>
    <row r="25" customFormat="false" ht="15" hidden="false" customHeight="false" outlineLevel="0" collapsed="false">
      <c r="A25" s="10" t="n">
        <v>21</v>
      </c>
      <c r="B25" s="10" t="s">
        <v>118</v>
      </c>
      <c r="C25" s="10" t="s">
        <v>116</v>
      </c>
      <c r="D25" s="28" t="n">
        <f aca="false">02_2010_BASELINE!D25</f>
        <v>2160</v>
      </c>
      <c r="E25" s="29" t="n">
        <f aca="false">04_INCIDENCE_FACTORS!F25</f>
        <v>0.609916358608393</v>
      </c>
      <c r="F25" s="29" t="n">
        <f aca="false">05_PRICE_FACTORS!F25</f>
        <v>2.21144476344123</v>
      </c>
      <c r="G25" s="22" t="n">
        <f aca="false">E25*F25</f>
        <v>1.34879633738168</v>
      </c>
      <c r="H25" s="17" t="n">
        <f aca="false">D25*G25</f>
        <v>2913.40008874442</v>
      </c>
      <c r="I25" s="15" t="n">
        <v>2913.40008874442</v>
      </c>
      <c r="J25" s="7" t="s">
        <v>148</v>
      </c>
      <c r="K25" s="19" t="n">
        <f aca="false">H25/D25-1</f>
        <v>0.348796337381675</v>
      </c>
      <c r="L25" s="27" t="s">
        <v>230</v>
      </c>
    </row>
    <row r="26" customFormat="false" ht="15" hidden="false" customHeight="false" outlineLevel="0" collapsed="false">
      <c r="A26" s="10" t="n">
        <v>22</v>
      </c>
      <c r="B26" s="10" t="s">
        <v>119</v>
      </c>
      <c r="C26" s="10" t="s">
        <v>116</v>
      </c>
      <c r="D26" s="28" t="n">
        <f aca="false">02_2010_BASELINE!D26</f>
        <v>5998.8</v>
      </c>
      <c r="E26" s="29" t="n">
        <f aca="false">04_INCIDENCE_FACTORS!F26</f>
        <v>0.90003402774407</v>
      </c>
      <c r="F26" s="29" t="n">
        <f aca="false">05_PRICE_FACTORS!F26</f>
        <v>1.49860593689155</v>
      </c>
      <c r="G26" s="22" t="n">
        <f aca="false">E26*F26</f>
        <v>1.34879633738168</v>
      </c>
      <c r="H26" s="17" t="n">
        <f aca="false">D26*G26</f>
        <v>8091.15946868519</v>
      </c>
      <c r="I26" s="15" t="n">
        <v>8091.15946868519</v>
      </c>
      <c r="J26" s="23" t="s">
        <v>145</v>
      </c>
      <c r="K26" s="19" t="n">
        <f aca="false">H26/D26-1</f>
        <v>0.348796337381675</v>
      </c>
      <c r="L26" s="27" t="s">
        <v>226</v>
      </c>
    </row>
    <row r="27" customFormat="false" ht="15" hidden="false" customHeight="false" outlineLevel="0" collapsed="false">
      <c r="A27" s="10" t="n">
        <v>23</v>
      </c>
      <c r="B27" s="10" t="s">
        <v>120</v>
      </c>
      <c r="C27" s="10" t="s">
        <v>116</v>
      </c>
      <c r="D27" s="28" t="n">
        <f aca="false">02_2010_BASELINE!D27</f>
        <v>228.1</v>
      </c>
      <c r="E27" s="29" t="n">
        <f aca="false">04_INCIDENCE_FACTORS!F27</f>
        <v>0.90003402774407</v>
      </c>
      <c r="F27" s="29" t="n">
        <f aca="false">05_PRICE_FACTORS!F27</f>
        <v>1.41523969115653</v>
      </c>
      <c r="G27" s="22" t="n">
        <f aca="false">E27*F27</f>
        <v>1.27376387945489</v>
      </c>
      <c r="H27" s="17" t="n">
        <f aca="false">D27*G27</f>
        <v>290.54554090366</v>
      </c>
      <c r="I27" s="15" t="n">
        <v>290.54554090366</v>
      </c>
      <c r="J27" s="23" t="s">
        <v>145</v>
      </c>
      <c r="K27" s="19" t="n">
        <f aca="false">H27/D27-1</f>
        <v>0.273763879454889</v>
      </c>
      <c r="L27" s="27" t="s">
        <v>226</v>
      </c>
    </row>
    <row r="28" customFormat="false" ht="15" hidden="false" customHeight="false" outlineLevel="0" collapsed="false">
      <c r="A28" s="10" t="n">
        <v>24</v>
      </c>
      <c r="B28" s="10" t="s">
        <v>121</v>
      </c>
      <c r="C28" s="10" t="s">
        <v>116</v>
      </c>
      <c r="D28" s="28" t="n">
        <f aca="false">02_2010_BASELINE!D28</f>
        <v>13461.9</v>
      </c>
      <c r="E28" s="29" t="n">
        <f aca="false">04_INCIDENCE_FACTORS!F28</f>
        <v>1.15581395348837</v>
      </c>
      <c r="F28" s="29" t="n">
        <f aca="false">05_PRICE_FACTORS!F28</f>
        <v>1.24266243533771</v>
      </c>
      <c r="G28" s="22" t="n">
        <f aca="false">E28*F28</f>
        <v>1.43628658223917</v>
      </c>
      <c r="H28" s="17" t="n">
        <f aca="false">D28*G28</f>
        <v>19335.1463414455</v>
      </c>
      <c r="I28" s="15" t="n">
        <v>20574.4446009786</v>
      </c>
      <c r="J28" s="7" t="s">
        <v>148</v>
      </c>
      <c r="K28" s="19" t="n">
        <f aca="false">H28/D28-1</f>
        <v>0.436286582239169</v>
      </c>
      <c r="L28" s="27" t="s">
        <v>230</v>
      </c>
    </row>
    <row r="29" customFormat="false" ht="15" hidden="false" customHeight="false" outlineLevel="0" collapsed="false">
      <c r="A29" s="10" t="n">
        <v>25</v>
      </c>
      <c r="B29" s="10" t="s">
        <v>122</v>
      </c>
      <c r="C29" s="10" t="s">
        <v>116</v>
      </c>
      <c r="D29" s="28" t="n">
        <f aca="false">02_2010_BASELINE!D29</f>
        <v>2914.3</v>
      </c>
      <c r="E29" s="29" t="n">
        <f aca="false">04_INCIDENCE_FACTORS!F29</f>
        <v>1.01652271873827</v>
      </c>
      <c r="F29" s="29" t="n">
        <f aca="false">05_PRICE_FACTORS!F29</f>
        <v>1.45125208562474</v>
      </c>
      <c r="G29" s="22" t="n">
        <f aca="false">E29*F29</f>
        <v>1.47523071565384</v>
      </c>
      <c r="H29" s="17" t="n">
        <f aca="false">D29*G29</f>
        <v>4299.26487462998</v>
      </c>
      <c r="I29" s="15" t="n">
        <v>4299.26487462999</v>
      </c>
      <c r="J29" s="3" t="s">
        <v>160</v>
      </c>
      <c r="K29" s="19" t="n">
        <f aca="false">H29/D29-1</f>
        <v>0.475230715653839</v>
      </c>
      <c r="L29" s="27" t="s">
        <v>226</v>
      </c>
    </row>
    <row r="30" customFormat="false" ht="15" hidden="false" customHeight="false" outlineLevel="0" collapsed="false">
      <c r="A30" s="10" t="n">
        <v>26</v>
      </c>
      <c r="B30" s="10" t="s">
        <v>123</v>
      </c>
      <c r="C30" s="10" t="s">
        <v>116</v>
      </c>
      <c r="D30" s="28" t="n">
        <f aca="false">02_2010_BASELINE!D30</f>
        <v>374.1</v>
      </c>
      <c r="E30" s="29" t="n">
        <f aca="false">04_INCIDENCE_FACTORS!F30</f>
        <v>0.916213638793555</v>
      </c>
      <c r="F30" s="29" t="n">
        <f aca="false">05_PRICE_FACTORS!F30</f>
        <v>1.3406170871237</v>
      </c>
      <c r="G30" s="22" t="n">
        <f aca="false">E30*F30</f>
        <v>1.22829165962242</v>
      </c>
      <c r="H30" s="17" t="n">
        <f aca="false">D30*G30</f>
        <v>459.503909864747</v>
      </c>
      <c r="I30" s="15" t="n">
        <v>726.312631721698</v>
      </c>
      <c r="J30" s="24" t="s">
        <v>157</v>
      </c>
      <c r="K30" s="19" t="n">
        <f aca="false">H30/D30-1</f>
        <v>0.22829165962242</v>
      </c>
      <c r="L30" s="27" t="s">
        <v>226</v>
      </c>
    </row>
    <row r="32" customFormat="false" ht="15" hidden="false" customHeight="false" outlineLevel="0" collapsed="false">
      <c r="B32" s="16" t="s">
        <v>231</v>
      </c>
      <c r="D32" s="30" t="n">
        <f aca="false">SUMIF($C$5:$C$30,"Healthcare",D$5:D$30)</f>
        <v>28379.1</v>
      </c>
      <c r="H32" s="30" t="n">
        <f aca="false">SUMIF($C$5:$C$30,"Healthcare",H$5:H$30)</f>
        <v>45416.4580239801</v>
      </c>
      <c r="I32" s="30" t="n">
        <f aca="false">SUMIF($C$5:$C$30,"Healthcare",I$5:I$30)</f>
        <v>46609.6570602675</v>
      </c>
    </row>
    <row r="33" customFormat="false" ht="15" hidden="false" customHeight="false" outlineLevel="0" collapsed="false">
      <c r="B33" s="16" t="s">
        <v>232</v>
      </c>
      <c r="D33" s="30" t="n">
        <f aca="false">SUMIF($C$5:$C$30,"Lost productivity",D$5:D$30)</f>
        <v>179084.9</v>
      </c>
      <c r="H33" s="30" t="n">
        <f aca="false">SUMIF($C$5:$C$30,"Lost productivity",H$5:H$30)</f>
        <v>372322.035230014</v>
      </c>
      <c r="I33" s="30" t="n">
        <f aca="false">SUMIF($C$5:$C$30,"Lost productivity",I$5:I$30)</f>
        <v>316205.942601772</v>
      </c>
    </row>
    <row r="34" customFormat="false" ht="15" hidden="false" customHeight="false" outlineLevel="0" collapsed="false">
      <c r="B34" s="16" t="s">
        <v>233</v>
      </c>
      <c r="D34" s="30" t="n">
        <f aca="false">SUMIF($C$5:$C$30,"Other",D$5:D$30)</f>
        <v>41562.5</v>
      </c>
      <c r="H34" s="30" t="n">
        <f aca="false">SUMIF($C$5:$C$30,"Other",H$5:H$30)</f>
        <v>55881.2363725615</v>
      </c>
      <c r="I34" s="30" t="n">
        <f aca="false">SUMIF($C$5:$C$30,"Other",I$5:I$30)</f>
        <v>57387.3433539516</v>
      </c>
    </row>
    <row r="35" customFormat="false" ht="15" hidden="false" customHeight="false" outlineLevel="0" collapsed="false">
      <c r="B35" s="5" t="s">
        <v>234</v>
      </c>
      <c r="D35" s="31" t="n">
        <f aca="false">SUM(D5:D30)</f>
        <v>249026.5</v>
      </c>
      <c r="H35" s="31" t="n">
        <f aca="false">SUM(H5:H30)</f>
        <v>473619.729626556</v>
      </c>
      <c r="I35" s="31" t="n">
        <f aca="false">SUM(I5:I30)</f>
        <v>420202.943015991</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40"/>
    <col collapsed="false" customWidth="true" hidden="false" outlineLevel="0" max="3" min="3" style="0" width="16"/>
    <col collapsed="false" customWidth="true" hidden="false" outlineLevel="0" max="5" min="4" style="0" width="14"/>
    <col collapsed="false" customWidth="true" hidden="false" outlineLevel="0" max="6" min="6" style="0" width="16"/>
    <col collapsed="false" customWidth="true" hidden="false" outlineLevel="0" max="7" min="7" style="0" width="15"/>
    <col collapsed="false" customWidth="true" hidden="false" outlineLevel="0" max="8" min="8" style="0" width="16"/>
    <col collapsed="false" customWidth="true" hidden="false" outlineLevel="0" max="9" min="9" style="0" width="46"/>
  </cols>
  <sheetData>
    <row r="1" customFormat="false" ht="25.5" hidden="false" customHeight="true" outlineLevel="0" collapsed="false">
      <c r="A1" s="1" t="s">
        <v>235</v>
      </c>
      <c r="B1" s="1"/>
      <c r="C1" s="1"/>
      <c r="D1" s="1"/>
      <c r="E1" s="1"/>
      <c r="F1" s="1"/>
      <c r="G1" s="1"/>
      <c r="H1" s="1"/>
      <c r="I1" s="1"/>
      <c r="J1" s="1"/>
      <c r="K1" s="1"/>
      <c r="L1" s="1"/>
      <c r="M1" s="1"/>
      <c r="N1" s="1"/>
    </row>
    <row r="2" customFormat="false" ht="15" hidden="false" customHeight="false" outlineLevel="0" collapsed="false">
      <c r="A2" s="2" t="s">
        <v>236</v>
      </c>
      <c r="B2" s="2"/>
      <c r="C2" s="2"/>
      <c r="D2" s="2"/>
      <c r="E2" s="2"/>
      <c r="F2" s="2"/>
      <c r="G2" s="2"/>
      <c r="H2" s="2"/>
      <c r="I2" s="2"/>
      <c r="J2" s="2"/>
      <c r="K2" s="2"/>
      <c r="L2" s="2"/>
      <c r="M2" s="2"/>
      <c r="N2" s="2"/>
    </row>
    <row r="4" customFormat="false" ht="30" hidden="false" customHeight="true" outlineLevel="0" collapsed="false">
      <c r="A4" s="8" t="s">
        <v>91</v>
      </c>
      <c r="B4" s="8" t="s">
        <v>92</v>
      </c>
      <c r="C4" s="8" t="s">
        <v>237</v>
      </c>
      <c r="D4" s="8" t="s">
        <v>238</v>
      </c>
      <c r="E4" s="8" t="s">
        <v>239</v>
      </c>
      <c r="F4" s="8" t="s">
        <v>240</v>
      </c>
      <c r="G4" s="8" t="s">
        <v>241</v>
      </c>
      <c r="H4" s="8" t="s">
        <v>242</v>
      </c>
      <c r="I4" s="8" t="s">
        <v>243</v>
      </c>
    </row>
    <row r="5" customFormat="false" ht="15" hidden="false" customHeight="false" outlineLevel="0" collapsed="false">
      <c r="A5" s="10" t="n">
        <v>1</v>
      </c>
      <c r="B5" s="10" t="s">
        <v>95</v>
      </c>
      <c r="C5" s="28" t="n">
        <f aca="false">06_COMPONENT_CALC!H5</f>
        <v>16366.6173094705</v>
      </c>
      <c r="D5" s="32" t="n">
        <v>0.6</v>
      </c>
      <c r="E5" s="32" t="n">
        <v>0.684507042253521</v>
      </c>
      <c r="F5" s="17" t="n">
        <f aca="false">C5*E5</f>
        <v>11203.0648062009</v>
      </c>
      <c r="G5" s="17" t="n">
        <f aca="false">F5*0.6985</f>
        <v>7825.34076713133</v>
      </c>
      <c r="H5" s="17" t="n">
        <f aca="false">F5-G5</f>
        <v>3377.72403906957</v>
      </c>
      <c r="I5" s="27" t="s">
        <v>244</v>
      </c>
    </row>
    <row r="6" customFormat="false" ht="15" hidden="false" customHeight="false" outlineLevel="0" collapsed="false">
      <c r="A6" s="10" t="n">
        <v>2</v>
      </c>
      <c r="B6" s="10" t="s">
        <v>97</v>
      </c>
      <c r="C6" s="28" t="n">
        <f aca="false">06_COMPONENT_CALC!H6</f>
        <v>12162.3316773951</v>
      </c>
      <c r="D6" s="32" t="n">
        <v>0.55</v>
      </c>
      <c r="E6" s="32" t="n">
        <v>0.627464788732394</v>
      </c>
      <c r="F6" s="17" t="n">
        <f aca="false">C6*E6</f>
        <v>7631.43487645003</v>
      </c>
      <c r="G6" s="17" t="n">
        <f aca="false">F6*0.6985</f>
        <v>5330.55726120034</v>
      </c>
      <c r="H6" s="17" t="n">
        <f aca="false">F6-G6</f>
        <v>2300.87761524968</v>
      </c>
      <c r="I6" s="27" t="s">
        <v>244</v>
      </c>
    </row>
    <row r="7" customFormat="false" ht="15" hidden="false" customHeight="false" outlineLevel="0" collapsed="false">
      <c r="A7" s="10" t="n">
        <v>3</v>
      </c>
      <c r="B7" s="10" t="s">
        <v>98</v>
      </c>
      <c r="C7" s="28" t="n">
        <f aca="false">06_COMPONENT_CALC!H7</f>
        <v>3407.17517170101</v>
      </c>
      <c r="D7" s="32" t="n">
        <v>0.45</v>
      </c>
      <c r="E7" s="32" t="n">
        <v>0.513380281690141</v>
      </c>
      <c r="F7" s="17" t="n">
        <f aca="false">C7*E7</f>
        <v>1749.17654941552</v>
      </c>
      <c r="G7" s="17" t="n">
        <f aca="false">F7*0.6985</f>
        <v>1221.79981976674</v>
      </c>
      <c r="H7" s="17" t="n">
        <f aca="false">F7-G7</f>
        <v>527.376729648779</v>
      </c>
      <c r="I7" s="27" t="s">
        <v>244</v>
      </c>
    </row>
    <row r="8" customFormat="false" ht="15" hidden="false" customHeight="false" outlineLevel="0" collapsed="false">
      <c r="A8" s="10" t="n">
        <v>4</v>
      </c>
      <c r="B8" s="10" t="s">
        <v>99</v>
      </c>
      <c r="C8" s="28" t="n">
        <f aca="false">06_COMPONENT_CALC!H8</f>
        <v>1505.6287544484</v>
      </c>
      <c r="D8" s="32" t="n">
        <v>0.62</v>
      </c>
      <c r="E8" s="32" t="n">
        <v>0.707323943661972</v>
      </c>
      <c r="F8" s="17" t="n">
        <f aca="false">C8*E8</f>
        <v>1064.9672682873</v>
      </c>
      <c r="G8" s="17" t="n">
        <f aca="false">F8*0.6985</f>
        <v>743.879636898682</v>
      </c>
      <c r="H8" s="17" t="n">
        <f aca="false">F8-G8</f>
        <v>321.087631388622</v>
      </c>
      <c r="I8" s="27" t="s">
        <v>244</v>
      </c>
    </row>
    <row r="9" customFormat="false" ht="15" hidden="false" customHeight="false" outlineLevel="0" collapsed="false">
      <c r="A9" s="10" t="n">
        <v>5</v>
      </c>
      <c r="B9" s="10" t="s">
        <v>100</v>
      </c>
      <c r="C9" s="28" t="n">
        <f aca="false">06_COMPONENT_CALC!H9</f>
        <v>3454.10903762802</v>
      </c>
      <c r="D9" s="32" t="n">
        <v>0.45</v>
      </c>
      <c r="E9" s="32" t="n">
        <v>0.513380281690141</v>
      </c>
      <c r="F9" s="17" t="n">
        <f aca="false">C9*E9</f>
        <v>1773.27147072593</v>
      </c>
      <c r="G9" s="17" t="n">
        <f aca="false">F9*0.6985</f>
        <v>1238.63012230206</v>
      </c>
      <c r="H9" s="17" t="n">
        <f aca="false">F9-G9</f>
        <v>534.641348423869</v>
      </c>
      <c r="I9" s="27" t="s">
        <v>244</v>
      </c>
    </row>
    <row r="10" customFormat="false" ht="15" hidden="false" customHeight="false" outlineLevel="0" collapsed="false">
      <c r="A10" s="10" t="n">
        <v>6</v>
      </c>
      <c r="B10" s="10" t="s">
        <v>101</v>
      </c>
      <c r="C10" s="28" t="n">
        <f aca="false">06_COMPONENT_CALC!H10</f>
        <v>3407.19924816453</v>
      </c>
      <c r="D10" s="32" t="n">
        <v>0.55</v>
      </c>
      <c r="E10" s="32" t="n">
        <v>0.627464788732394</v>
      </c>
      <c r="F10" s="17" t="n">
        <f aca="false">C10*E10</f>
        <v>2137.89755641873</v>
      </c>
      <c r="G10" s="17" t="n">
        <f aca="false">F10*0.6985</f>
        <v>1493.32144315848</v>
      </c>
      <c r="H10" s="17" t="n">
        <f aca="false">F10-G10</f>
        <v>644.576113260248</v>
      </c>
      <c r="I10" s="27" t="s">
        <v>244</v>
      </c>
    </row>
    <row r="11" customFormat="false" ht="15" hidden="false" customHeight="false" outlineLevel="0" collapsed="false">
      <c r="A11" s="10" t="n">
        <v>7</v>
      </c>
      <c r="B11" s="10" t="s">
        <v>102</v>
      </c>
      <c r="C11" s="28" t="n">
        <f aca="false">06_COMPONENT_CALC!H11</f>
        <v>1258.804536862</v>
      </c>
      <c r="D11" s="32" t="n">
        <v>1</v>
      </c>
      <c r="E11" s="32" t="n">
        <v>1</v>
      </c>
      <c r="F11" s="17" t="n">
        <f aca="false">C11*E11</f>
        <v>1258.804536862</v>
      </c>
      <c r="G11" s="17" t="n">
        <f aca="false">F11*1</f>
        <v>1258.804536862</v>
      </c>
      <c r="H11" s="17" t="n">
        <f aca="false">F11-G11</f>
        <v>0</v>
      </c>
      <c r="I11" s="27" t="s">
        <v>245</v>
      </c>
    </row>
    <row r="12" customFormat="false" ht="15" hidden="false" customHeight="false" outlineLevel="0" collapsed="false">
      <c r="A12" s="10" t="n">
        <v>8</v>
      </c>
      <c r="B12" s="10" t="s">
        <v>103</v>
      </c>
      <c r="C12" s="28" t="n">
        <f aca="false">06_COMPONENT_CALC!H12</f>
        <v>56.6963660834455</v>
      </c>
      <c r="D12" s="32" t="n">
        <v>0.5</v>
      </c>
      <c r="E12" s="32" t="n">
        <v>0.570422535211268</v>
      </c>
      <c r="F12" s="17" t="n">
        <f aca="false">C12*E12</f>
        <v>32.3408848785851</v>
      </c>
      <c r="G12" s="17" t="n">
        <f aca="false">F12*0.6985</f>
        <v>22.5901080876917</v>
      </c>
      <c r="H12" s="17" t="n">
        <f aca="false">F12-G12</f>
        <v>9.75077679089341</v>
      </c>
      <c r="I12" s="27" t="s">
        <v>244</v>
      </c>
    </row>
    <row r="13" customFormat="false" ht="15" hidden="false" customHeight="false" outlineLevel="0" collapsed="false">
      <c r="A13" s="10" t="n">
        <v>9</v>
      </c>
      <c r="B13" s="10" t="s">
        <v>104</v>
      </c>
      <c r="C13" s="28" t="n">
        <f aca="false">06_COMPONENT_CALC!H13</f>
        <v>3797.89592222716</v>
      </c>
      <c r="D13" s="32" t="n">
        <v>0.4</v>
      </c>
      <c r="E13" s="32" t="n">
        <v>0.456338028169014</v>
      </c>
      <c r="F13" s="17" t="n">
        <f aca="false">C13*E13</f>
        <v>1733.12433634028</v>
      </c>
      <c r="G13" s="17" t="n">
        <f aca="false">F13*0.6985</f>
        <v>1210.58734893369</v>
      </c>
      <c r="H13" s="17" t="n">
        <f aca="false">F13-G13</f>
        <v>522.536987406595</v>
      </c>
      <c r="I13" s="27" t="s">
        <v>244</v>
      </c>
    </row>
    <row r="14" customFormat="false" ht="15" hidden="false" customHeight="false" outlineLevel="0" collapsed="false">
      <c r="A14" s="10" t="n">
        <v>10</v>
      </c>
      <c r="B14" s="10" t="s">
        <v>105</v>
      </c>
      <c r="C14" s="28" t="n">
        <f aca="false">06_COMPONENT_CALC!H14</f>
        <v>172459.11456777</v>
      </c>
      <c r="D14" s="32" t="n">
        <v>0.321536036818291</v>
      </c>
      <c r="E14" s="32" t="n">
        <v>0.361283497452953</v>
      </c>
      <c r="F14" s="17" t="n">
        <f aca="false">C14*E14</f>
        <v>62306.6320786835</v>
      </c>
      <c r="G14" s="17" t="n">
        <f aca="false">F14*0.5532</f>
        <v>34468.0288659277</v>
      </c>
      <c r="H14" s="17" t="n">
        <f aca="false">F14-G14</f>
        <v>27838.6032127558</v>
      </c>
      <c r="I14" s="27" t="s">
        <v>246</v>
      </c>
    </row>
    <row r="15" customFormat="false" ht="15" hidden="false" customHeight="false" outlineLevel="0" collapsed="false">
      <c r="A15" s="10" t="n">
        <v>11</v>
      </c>
      <c r="B15" s="10" t="s">
        <v>107</v>
      </c>
      <c r="C15" s="28" t="n">
        <f aca="false">06_COMPONENT_CALC!H15</f>
        <v>13952.2548469839</v>
      </c>
      <c r="D15" s="32" t="n">
        <v>0.321536036818291</v>
      </c>
      <c r="E15" s="32" t="n">
        <v>0.361283497452953</v>
      </c>
      <c r="F15" s="17" t="n">
        <f aca="false">C15*E15</f>
        <v>5040.71942847325</v>
      </c>
      <c r="G15" s="17" t="n">
        <f aca="false">F15*0.5532</f>
        <v>2788.5259878314</v>
      </c>
      <c r="H15" s="17" t="n">
        <f aca="false">F15-G15</f>
        <v>2252.19344064185</v>
      </c>
      <c r="I15" s="27" t="s">
        <v>246</v>
      </c>
    </row>
    <row r="16" customFormat="false" ht="15" hidden="false" customHeight="false" outlineLevel="0" collapsed="false">
      <c r="A16" s="10" t="n">
        <v>12</v>
      </c>
      <c r="B16" s="10" t="s">
        <v>108</v>
      </c>
      <c r="C16" s="28" t="n">
        <f aca="false">06_COMPONENT_CALC!H16</f>
        <v>6431.819673994</v>
      </c>
      <c r="D16" s="32" t="n">
        <v>0.321536036818291</v>
      </c>
      <c r="E16" s="32" t="n">
        <v>0.361283497452953</v>
      </c>
      <c r="F16" s="17" t="n">
        <f aca="false">C16*E16</f>
        <v>2323.71030680726</v>
      </c>
      <c r="G16" s="17" t="n">
        <f aca="false">F16*0.5532</f>
        <v>1285.47654172578</v>
      </c>
      <c r="H16" s="17" t="n">
        <f aca="false">F16-G16</f>
        <v>1038.23376508149</v>
      </c>
      <c r="I16" s="27" t="s">
        <v>246</v>
      </c>
    </row>
    <row r="17" customFormat="false" ht="15" hidden="false" customHeight="false" outlineLevel="0" collapsed="false">
      <c r="A17" s="10" t="n">
        <v>13</v>
      </c>
      <c r="B17" s="10" t="s">
        <v>109</v>
      </c>
      <c r="C17" s="28" t="n">
        <f aca="false">06_COMPONENT_CALC!H17</f>
        <v>2705.84866825999</v>
      </c>
      <c r="D17" s="32" t="n">
        <v>0.321536036818291</v>
      </c>
      <c r="E17" s="32" t="n">
        <v>0.361283497452953</v>
      </c>
      <c r="F17" s="17" t="n">
        <f aca="false">C17*E17</f>
        <v>977.578470447385</v>
      </c>
      <c r="G17" s="17" t="n">
        <f aca="false">F17*0.5532</f>
        <v>540.796409851494</v>
      </c>
      <c r="H17" s="17" t="n">
        <f aca="false">F17-G17</f>
        <v>436.782060595892</v>
      </c>
      <c r="I17" s="27" t="s">
        <v>246</v>
      </c>
    </row>
    <row r="18" customFormat="false" ht="15" hidden="false" customHeight="false" outlineLevel="0" collapsed="false">
      <c r="A18" s="10" t="n">
        <v>14</v>
      </c>
      <c r="B18" s="10" t="s">
        <v>110</v>
      </c>
      <c r="C18" s="28" t="n">
        <f aca="false">06_COMPONENT_CALC!H18</f>
        <v>468.848062305475</v>
      </c>
      <c r="D18" s="32" t="n">
        <v>0.321536036818291</v>
      </c>
      <c r="E18" s="32" t="n">
        <v>0.361283497452953</v>
      </c>
      <c r="F18" s="17" t="n">
        <f aca="false">C18*E18</f>
        <v>169.387067723762</v>
      </c>
      <c r="G18" s="17" t="n">
        <f aca="false">F18*0.5532</f>
        <v>93.7049258647851</v>
      </c>
      <c r="H18" s="17" t="n">
        <f aca="false">F18-G18</f>
        <v>75.6821418589768</v>
      </c>
      <c r="I18" s="27" t="s">
        <v>246</v>
      </c>
    </row>
    <row r="19" customFormat="false" ht="15" hidden="false" customHeight="false" outlineLevel="0" collapsed="false">
      <c r="A19" s="10" t="n">
        <v>15</v>
      </c>
      <c r="B19" s="10" t="s">
        <v>111</v>
      </c>
      <c r="C19" s="28" t="n">
        <f aca="false">06_COMPONENT_CALC!H19</f>
        <v>159517.888932364</v>
      </c>
      <c r="D19" s="32" t="n">
        <v>0.321536036818291</v>
      </c>
      <c r="E19" s="32" t="n">
        <v>0.361283497452953</v>
      </c>
      <c r="F19" s="17" t="n">
        <f aca="false">C19*E19</f>
        <v>57631.1808197963</v>
      </c>
      <c r="G19" s="17" t="n">
        <f aca="false">F19*0.5532</f>
        <v>31881.5692295113</v>
      </c>
      <c r="H19" s="17" t="n">
        <f aca="false">F19-G19</f>
        <v>25749.611590285</v>
      </c>
      <c r="I19" s="27" t="s">
        <v>246</v>
      </c>
    </row>
    <row r="20" customFormat="false" ht="15" hidden="false" customHeight="false" outlineLevel="0" collapsed="false">
      <c r="A20" s="10" t="n">
        <v>16</v>
      </c>
      <c r="B20" s="10" t="s">
        <v>112</v>
      </c>
      <c r="C20" s="28" t="n">
        <f aca="false">06_COMPONENT_CALC!H20</f>
        <v>9729.66995124159</v>
      </c>
      <c r="D20" s="32" t="n">
        <v>0.321536036818291</v>
      </c>
      <c r="E20" s="32" t="n">
        <v>0.361283497452953</v>
      </c>
      <c r="F20" s="17" t="n">
        <f aca="false">C20*E20</f>
        <v>3515.16918904746</v>
      </c>
      <c r="G20" s="17" t="n">
        <f aca="false">F20*0.5532</f>
        <v>1944.59159538106</v>
      </c>
      <c r="H20" s="17" t="n">
        <f aca="false">F20-G20</f>
        <v>1570.57759366641</v>
      </c>
      <c r="I20" s="27" t="s">
        <v>246</v>
      </c>
    </row>
    <row r="21" customFormat="false" ht="15" hidden="false" customHeight="false" outlineLevel="0" collapsed="false">
      <c r="A21" s="10" t="n">
        <v>17</v>
      </c>
      <c r="B21" s="10" t="s">
        <v>113</v>
      </c>
      <c r="C21" s="28" t="n">
        <f aca="false">06_COMPONENT_CALC!H21</f>
        <v>4423.46651684472</v>
      </c>
      <c r="D21" s="32" t="n">
        <v>0.321536036818291</v>
      </c>
      <c r="E21" s="32" t="n">
        <v>0.361283497452953</v>
      </c>
      <c r="F21" s="17" t="n">
        <f aca="false">C21*E21</f>
        <v>1598.12545407169</v>
      </c>
      <c r="G21" s="17" t="n">
        <f aca="false">F21*0.5532</f>
        <v>884.08300119246</v>
      </c>
      <c r="H21" s="17" t="n">
        <f aca="false">F21-G21</f>
        <v>714.042452879231</v>
      </c>
      <c r="I21" s="27" t="s">
        <v>246</v>
      </c>
    </row>
    <row r="22" customFormat="false" ht="15" hidden="false" customHeight="false" outlineLevel="0" collapsed="false">
      <c r="A22" s="10" t="n">
        <v>18</v>
      </c>
      <c r="B22" s="10" t="s">
        <v>114</v>
      </c>
      <c r="C22" s="28" t="n">
        <f aca="false">06_COMPONENT_CALC!H22</f>
        <v>2633.12401025024</v>
      </c>
      <c r="D22" s="32" t="n">
        <v>0.321536036818291</v>
      </c>
      <c r="E22" s="32" t="n">
        <v>0.361283497452953</v>
      </c>
      <c r="F22" s="17" t="n">
        <f aca="false">C22*E22</f>
        <v>951.304251650554</v>
      </c>
      <c r="G22" s="17" t="n">
        <f aca="false">F22*0.5532</f>
        <v>526.261512013086</v>
      </c>
      <c r="H22" s="17" t="n">
        <f aca="false">F22-G22</f>
        <v>425.042739637467</v>
      </c>
      <c r="I22" s="27" t="s">
        <v>246</v>
      </c>
    </row>
    <row r="23" customFormat="false" ht="15" hidden="false" customHeight="false" outlineLevel="0" collapsed="false">
      <c r="A23" s="10" t="n">
        <v>19</v>
      </c>
      <c r="B23" s="10" t="s">
        <v>115</v>
      </c>
      <c r="C23" s="28" t="n">
        <f aca="false">06_COMPONENT_CALC!H23</f>
        <v>574.14792332235</v>
      </c>
      <c r="D23" s="32" t="n">
        <v>0</v>
      </c>
      <c r="E23" s="32" t="n">
        <v>0</v>
      </c>
      <c r="F23" s="17" t="n">
        <f aca="false">C23*E23</f>
        <v>0</v>
      </c>
      <c r="G23" s="17" t="n">
        <f aca="false">F23*0.22</f>
        <v>0</v>
      </c>
      <c r="H23" s="17" t="n">
        <f aca="false">F23-G23</f>
        <v>0</v>
      </c>
      <c r="I23" s="27" t="s">
        <v>247</v>
      </c>
    </row>
    <row r="24" customFormat="false" ht="15" hidden="false" customHeight="false" outlineLevel="0" collapsed="false">
      <c r="A24" s="10" t="n">
        <v>20</v>
      </c>
      <c r="B24" s="10" t="s">
        <v>117</v>
      </c>
      <c r="C24" s="28" t="n">
        <f aca="false">06_COMPONENT_CALC!H24</f>
        <v>19918.0682249656</v>
      </c>
      <c r="D24" s="32" t="n">
        <v>1</v>
      </c>
      <c r="E24" s="32" t="n">
        <v>1</v>
      </c>
      <c r="F24" s="17" t="n">
        <f aca="false">C24*E24</f>
        <v>19918.0682249656</v>
      </c>
      <c r="G24" s="17" t="n">
        <f aca="false">F24*0.081</f>
        <v>1613.36352622222</v>
      </c>
      <c r="H24" s="17" t="n">
        <f aca="false">F24-G24</f>
        <v>18304.7046987434</v>
      </c>
      <c r="I24" s="27" t="s">
        <v>248</v>
      </c>
    </row>
    <row r="25" customFormat="false" ht="15" hidden="false" customHeight="false" outlineLevel="0" collapsed="false">
      <c r="A25" s="10" t="n">
        <v>21</v>
      </c>
      <c r="B25" s="10" t="s">
        <v>118</v>
      </c>
      <c r="C25" s="28" t="n">
        <f aca="false">06_COMPONENT_CALC!H25</f>
        <v>2913.40008874442</v>
      </c>
      <c r="D25" s="32" t="n">
        <v>1</v>
      </c>
      <c r="E25" s="32" t="n">
        <v>1</v>
      </c>
      <c r="F25" s="17" t="n">
        <f aca="false">C25*E25</f>
        <v>2913.40008874442</v>
      </c>
      <c r="G25" s="17" t="n">
        <f aca="false">F25*0.22</f>
        <v>640.948019523772</v>
      </c>
      <c r="H25" s="17" t="n">
        <f aca="false">F25-G25</f>
        <v>2272.45206922065</v>
      </c>
      <c r="I25" s="27" t="s">
        <v>247</v>
      </c>
    </row>
    <row r="26" customFormat="false" ht="15" hidden="false" customHeight="false" outlineLevel="0" collapsed="false">
      <c r="A26" s="10" t="n">
        <v>22</v>
      </c>
      <c r="B26" s="10" t="s">
        <v>119</v>
      </c>
      <c r="C26" s="28" t="n">
        <f aca="false">06_COMPONENT_CALC!H26</f>
        <v>8091.15946868519</v>
      </c>
      <c r="D26" s="32" t="n">
        <v>1</v>
      </c>
      <c r="E26" s="32" t="n">
        <v>1</v>
      </c>
      <c r="F26" s="17" t="n">
        <f aca="false">C26*E26</f>
        <v>8091.15946868519</v>
      </c>
      <c r="G26" s="17" t="n">
        <f aca="false">F26*0.22</f>
        <v>1780.05508311074</v>
      </c>
      <c r="H26" s="17" t="n">
        <f aca="false">F26-G26</f>
        <v>6311.10438557445</v>
      </c>
      <c r="I26" s="27" t="s">
        <v>247</v>
      </c>
    </row>
    <row r="27" customFormat="false" ht="15" hidden="false" customHeight="false" outlineLevel="0" collapsed="false">
      <c r="A27" s="10" t="n">
        <v>23</v>
      </c>
      <c r="B27" s="10" t="s">
        <v>120</v>
      </c>
      <c r="C27" s="28" t="n">
        <f aca="false">06_COMPONENT_CALC!H27</f>
        <v>290.54554090366</v>
      </c>
      <c r="D27" s="32" t="n">
        <v>0</v>
      </c>
      <c r="E27" s="32" t="n">
        <v>0</v>
      </c>
      <c r="F27" s="17" t="n">
        <f aca="false">C27*E27</f>
        <v>0</v>
      </c>
      <c r="G27" s="17" t="n">
        <f aca="false">F27*0.22</f>
        <v>0</v>
      </c>
      <c r="H27" s="17" t="n">
        <f aca="false">F27-G27</f>
        <v>0</v>
      </c>
      <c r="I27" s="27" t="s">
        <v>247</v>
      </c>
    </row>
    <row r="28" customFormat="false" ht="15" hidden="false" customHeight="false" outlineLevel="0" collapsed="false">
      <c r="A28" s="10" t="n">
        <v>24</v>
      </c>
      <c r="B28" s="10" t="s">
        <v>121</v>
      </c>
      <c r="C28" s="28" t="n">
        <f aca="false">06_COMPONENT_CALC!H28</f>
        <v>19335.1463414455</v>
      </c>
      <c r="D28" s="32" t="n">
        <v>0</v>
      </c>
      <c r="E28" s="32" t="n">
        <v>0</v>
      </c>
      <c r="F28" s="17" t="n">
        <f aca="false">C28*E28</f>
        <v>0</v>
      </c>
      <c r="G28" s="17" t="n">
        <f aca="false">F28*0.22</f>
        <v>0</v>
      </c>
      <c r="H28" s="17" t="n">
        <f aca="false">F28-G28</f>
        <v>0</v>
      </c>
      <c r="I28" s="27" t="s">
        <v>247</v>
      </c>
    </row>
    <row r="29" customFormat="false" ht="15" hidden="false" customHeight="false" outlineLevel="0" collapsed="false">
      <c r="A29" s="10" t="n">
        <v>25</v>
      </c>
      <c r="B29" s="10" t="s">
        <v>122</v>
      </c>
      <c r="C29" s="28" t="n">
        <f aca="false">06_COMPONENT_CALC!H29</f>
        <v>4299.26487462998</v>
      </c>
      <c r="D29" s="32" t="n">
        <v>0.9</v>
      </c>
      <c r="E29" s="32" t="n">
        <v>0.9</v>
      </c>
      <c r="F29" s="17" t="n">
        <f aca="false">C29*E29</f>
        <v>3869.33838716699</v>
      </c>
      <c r="G29" s="17" t="n">
        <f aca="false">F29*0</f>
        <v>0</v>
      </c>
      <c r="H29" s="17" t="n">
        <f aca="false">F29-G29</f>
        <v>3869.33838716699</v>
      </c>
      <c r="I29" s="27" t="s">
        <v>249</v>
      </c>
    </row>
    <row r="30" customFormat="false" ht="15" hidden="false" customHeight="false" outlineLevel="0" collapsed="false">
      <c r="A30" s="10" t="n">
        <v>26</v>
      </c>
      <c r="B30" s="10" t="s">
        <v>123</v>
      </c>
      <c r="C30" s="28" t="n">
        <f aca="false">06_COMPONENT_CALC!H30</f>
        <v>459.503909864747</v>
      </c>
      <c r="D30" s="32" t="n">
        <v>0.9</v>
      </c>
      <c r="E30" s="32" t="n">
        <v>0.9</v>
      </c>
      <c r="F30" s="17" t="n">
        <f aca="false">C30*E30</f>
        <v>413.553518878273</v>
      </c>
      <c r="G30" s="17" t="n">
        <f aca="false">F30*0.106</f>
        <v>43.8366730010969</v>
      </c>
      <c r="H30" s="17" t="n">
        <f aca="false">F30-G30</f>
        <v>369.716845877176</v>
      </c>
      <c r="I30" s="27" t="s">
        <v>250</v>
      </c>
    </row>
    <row r="32" customFormat="false" ht="15" hidden="false" customHeight="false" outlineLevel="0" collapsed="false">
      <c r="B32" s="5" t="s">
        <v>251</v>
      </c>
      <c r="C32" s="18" t="n">
        <f aca="false">SUM(C5:C30)</f>
        <v>473619.729626556</v>
      </c>
      <c r="F32" s="31" t="n">
        <f aca="false">SUM(F5:F30)</f>
        <v>198303.409040721</v>
      </c>
      <c r="G32" s="18" t="n">
        <f aca="false">SUM(G5:G30)</f>
        <v>98836.752415498</v>
      </c>
      <c r="H32" s="18" t="n">
        <f aca="false">SUM(H5:H30)</f>
        <v>99466.656625223</v>
      </c>
    </row>
    <row r="33" customFormat="false" ht="15" hidden="false" customHeight="false" outlineLevel="0" collapsed="false">
      <c r="B33" s="3" t="s">
        <v>252</v>
      </c>
      <c r="F33" s="19" t="n">
        <f aca="false">F32/C32</f>
        <v>0.418697525960502</v>
      </c>
    </row>
    <row r="34" customFormat="false" ht="15" hidden="false" customHeight="false" outlineLevel="0" collapsed="false">
      <c r="B34" s="3" t="s">
        <v>253</v>
      </c>
      <c r="F34" s="17" t="n">
        <f aca="false">G32+H32-F32</f>
        <v>0</v>
      </c>
    </row>
    <row r="36" customFormat="false" ht="15" hidden="false" customHeight="false" outlineLevel="0" collapsed="false">
      <c r="B36" s="7" t="s">
        <v>254</v>
      </c>
    </row>
    <row r="37" customFormat="false" ht="15" hidden="false" customHeight="true" outlineLevel="0" collapsed="false">
      <c r="B37" s="11" t="s">
        <v>255</v>
      </c>
      <c r="C37" s="11"/>
      <c r="D37" s="11"/>
      <c r="E37" s="11"/>
      <c r="F37" s="11"/>
      <c r="G37" s="11"/>
      <c r="H37" s="11"/>
      <c r="I37" s="11"/>
    </row>
    <row r="38" customFormat="false" ht="15" hidden="false" customHeight="false" outlineLevel="0" collapsed="false">
      <c r="B38" s="11"/>
      <c r="C38" s="11"/>
      <c r="D38" s="11"/>
      <c r="E38" s="11"/>
      <c r="F38" s="11"/>
      <c r="G38" s="11"/>
      <c r="H38" s="11"/>
      <c r="I38" s="11"/>
    </row>
  </sheetData>
  <mergeCells count="3">
    <mergeCell ref="A1:N1"/>
    <mergeCell ref="A2:N2"/>
    <mergeCell ref="B37:I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2" min="2" style="0" width="40"/>
    <col collapsed="false" customWidth="true" hidden="false" outlineLevel="0" max="4" min="3" style="0" width="18"/>
    <col collapsed="false" customWidth="true" hidden="false" outlineLevel="0" max="5" min="5" style="0" width="12"/>
    <col collapsed="false" customWidth="true" hidden="false" outlineLevel="0" max="6" min="6" style="0" width="8"/>
    <col collapsed="false" customWidth="true" hidden="false" outlineLevel="0" max="7" min="7" style="0" width="18"/>
    <col collapsed="false" customWidth="true" hidden="false" outlineLevel="0" max="8" min="8" style="0" width="84"/>
  </cols>
  <sheetData>
    <row r="1" customFormat="false" ht="25.5" hidden="false" customHeight="true" outlineLevel="0" collapsed="false">
      <c r="A1" s="1" t="s">
        <v>256</v>
      </c>
      <c r="B1" s="1"/>
      <c r="C1" s="1"/>
      <c r="D1" s="1"/>
      <c r="E1" s="1"/>
      <c r="F1" s="1"/>
      <c r="G1" s="1"/>
      <c r="H1" s="1"/>
      <c r="I1" s="1"/>
      <c r="J1" s="1"/>
      <c r="K1" s="1"/>
      <c r="L1" s="1"/>
      <c r="M1" s="1"/>
      <c r="N1" s="1"/>
    </row>
    <row r="2" customFormat="false" ht="15" hidden="false" customHeight="false" outlineLevel="0" collapsed="false">
      <c r="A2" s="2" t="s">
        <v>257</v>
      </c>
      <c r="B2" s="2"/>
      <c r="C2" s="2"/>
      <c r="D2" s="2"/>
      <c r="E2" s="2"/>
      <c r="F2" s="2"/>
      <c r="G2" s="2"/>
      <c r="H2" s="2"/>
      <c r="I2" s="2"/>
      <c r="J2" s="2"/>
      <c r="K2" s="2"/>
      <c r="L2" s="2"/>
      <c r="M2" s="2"/>
      <c r="N2" s="2"/>
    </row>
    <row r="4" customFormat="false" ht="30" hidden="false" customHeight="true" outlineLevel="0" collapsed="false">
      <c r="A4" s="8" t="s">
        <v>258</v>
      </c>
      <c r="B4" s="8" t="s">
        <v>259</v>
      </c>
      <c r="C4" s="8" t="s">
        <v>139</v>
      </c>
      <c r="D4" s="8" t="s">
        <v>140</v>
      </c>
      <c r="E4" s="8" t="s">
        <v>42</v>
      </c>
      <c r="F4" s="8" t="s">
        <v>142</v>
      </c>
      <c r="G4" s="8" t="s">
        <v>260</v>
      </c>
      <c r="H4" s="8" t="s">
        <v>143</v>
      </c>
    </row>
    <row r="5" customFormat="false" ht="31.5" hidden="false" customHeight="true" outlineLevel="0" collapsed="false">
      <c r="A5" s="3" t="s">
        <v>261</v>
      </c>
      <c r="B5" s="10" t="s">
        <v>262</v>
      </c>
      <c r="C5" s="9" t="n">
        <v>87798</v>
      </c>
      <c r="D5" s="9" t="n">
        <v>178307</v>
      </c>
      <c r="E5" s="10" t="s">
        <v>263</v>
      </c>
      <c r="F5" s="23" t="s">
        <v>145</v>
      </c>
      <c r="G5" s="33" t="s">
        <v>264</v>
      </c>
      <c r="H5" s="11" t="s">
        <v>265</v>
      </c>
    </row>
    <row r="6" customFormat="false" ht="31.5" hidden="false" customHeight="true" outlineLevel="0" collapsed="false">
      <c r="A6" s="3" t="s">
        <v>266</v>
      </c>
      <c r="B6" s="10" t="s">
        <v>170</v>
      </c>
      <c r="C6" s="9" t="n">
        <v>2560290</v>
      </c>
      <c r="D6" s="9" t="n">
        <v>4000000</v>
      </c>
      <c r="E6" s="10" t="s">
        <v>267</v>
      </c>
      <c r="F6" s="23" t="s">
        <v>145</v>
      </c>
      <c r="G6" s="33" t="s">
        <v>264</v>
      </c>
      <c r="H6" s="11" t="s">
        <v>171</v>
      </c>
    </row>
    <row r="7" customFormat="false" ht="31.5" hidden="false" customHeight="true" outlineLevel="0" collapsed="false">
      <c r="A7" s="3" t="s">
        <v>268</v>
      </c>
      <c r="B7" s="10" t="s">
        <v>269</v>
      </c>
      <c r="C7" s="9" t="n">
        <v>25692</v>
      </c>
      <c r="D7" s="9" t="n">
        <v>54258</v>
      </c>
      <c r="E7" s="10" t="s">
        <v>263</v>
      </c>
      <c r="F7" s="24" t="s">
        <v>157</v>
      </c>
      <c r="G7" s="34" t="s">
        <v>270</v>
      </c>
      <c r="H7" s="11" t="s">
        <v>271</v>
      </c>
    </row>
    <row r="8" customFormat="false" ht="31.5" hidden="false" customHeight="true" outlineLevel="0" collapsed="false">
      <c r="A8" s="3" t="s">
        <v>272</v>
      </c>
      <c r="B8" s="10" t="s">
        <v>150</v>
      </c>
      <c r="C8" s="9" t="n">
        <v>17876000</v>
      </c>
      <c r="D8" s="9" t="n">
        <v>29544000</v>
      </c>
      <c r="E8" s="10" t="s">
        <v>45</v>
      </c>
      <c r="F8" s="23" t="s">
        <v>145</v>
      </c>
      <c r="G8" s="33" t="s">
        <v>264</v>
      </c>
      <c r="H8" s="11" t="s">
        <v>151</v>
      </c>
    </row>
    <row r="9" customFormat="false" ht="31.5" hidden="false" customHeight="true" outlineLevel="0" collapsed="false">
      <c r="A9" s="3" t="s">
        <v>273</v>
      </c>
      <c r="B9" s="10" t="s">
        <v>166</v>
      </c>
      <c r="C9" s="9" t="n">
        <v>58550000</v>
      </c>
      <c r="D9" s="9" t="n">
        <v>60039000</v>
      </c>
      <c r="E9" s="10" t="s">
        <v>45</v>
      </c>
      <c r="F9" s="7" t="s">
        <v>148</v>
      </c>
      <c r="G9" s="33" t="s">
        <v>274</v>
      </c>
      <c r="H9" s="11" t="s">
        <v>167</v>
      </c>
    </row>
    <row r="10" customFormat="false" ht="31.5" hidden="false" customHeight="true" outlineLevel="0" collapsed="false">
      <c r="A10" s="3" t="s">
        <v>275</v>
      </c>
      <c r="B10" s="10" t="s">
        <v>276</v>
      </c>
      <c r="C10" s="9" t="n">
        <v>10000000</v>
      </c>
      <c r="D10" s="9" t="n">
        <v>5917000</v>
      </c>
      <c r="E10" s="10" t="s">
        <v>45</v>
      </c>
      <c r="F10" s="7" t="s">
        <v>148</v>
      </c>
      <c r="G10" s="33" t="s">
        <v>274</v>
      </c>
      <c r="H10" s="11" t="s">
        <v>277</v>
      </c>
    </row>
    <row r="11" customFormat="false" ht="31.5" hidden="false" customHeight="true" outlineLevel="0" collapsed="false">
      <c r="A11" s="3" t="s">
        <v>278</v>
      </c>
      <c r="B11" s="10" t="s">
        <v>279</v>
      </c>
      <c r="C11" s="25" t="n">
        <v>10.2</v>
      </c>
      <c r="D11" s="25" t="n">
        <v>15.2</v>
      </c>
      <c r="E11" s="10" t="s">
        <v>280</v>
      </c>
      <c r="F11" s="7" t="s">
        <v>148</v>
      </c>
      <c r="G11" s="33" t="s">
        <v>281</v>
      </c>
      <c r="H11" s="11" t="s">
        <v>282</v>
      </c>
    </row>
    <row r="12" customFormat="false" ht="31.5" hidden="false" customHeight="true" outlineLevel="0" collapsed="false">
      <c r="A12" s="3" t="s">
        <v>283</v>
      </c>
      <c r="B12" s="10" t="s">
        <v>284</v>
      </c>
      <c r="C12" s="25" t="n">
        <v>3.1</v>
      </c>
      <c r="D12" s="25" t="n">
        <v>4.9</v>
      </c>
      <c r="E12" s="10" t="s">
        <v>280</v>
      </c>
      <c r="F12" s="7" t="s">
        <v>148</v>
      </c>
      <c r="G12" s="33" t="s">
        <v>281</v>
      </c>
      <c r="H12" s="11" t="s">
        <v>285</v>
      </c>
    </row>
    <row r="13" customFormat="false" ht="31.5" hidden="false" customHeight="true" outlineLevel="0" collapsed="false">
      <c r="A13" s="3" t="s">
        <v>286</v>
      </c>
      <c r="B13" s="10" t="s">
        <v>144</v>
      </c>
      <c r="C13" s="9" t="n">
        <v>717032</v>
      </c>
      <c r="D13" s="9" t="n">
        <v>720505</v>
      </c>
      <c r="E13" s="10" t="s">
        <v>287</v>
      </c>
      <c r="F13" s="23" t="s">
        <v>145</v>
      </c>
      <c r="G13" s="33" t="s">
        <v>288</v>
      </c>
      <c r="H13" s="11" t="s">
        <v>146</v>
      </c>
    </row>
    <row r="14" customFormat="false" ht="31.5" hidden="false" customHeight="true" outlineLevel="0" collapsed="false">
      <c r="A14" s="3" t="s">
        <v>289</v>
      </c>
      <c r="B14" s="10" t="s">
        <v>152</v>
      </c>
      <c r="C14" s="9" t="n">
        <v>1383700</v>
      </c>
      <c r="D14" s="9" t="n">
        <v>1294800</v>
      </c>
      <c r="E14" s="10" t="s">
        <v>290</v>
      </c>
      <c r="F14" s="7" t="s">
        <v>148</v>
      </c>
      <c r="G14" s="33" t="s">
        <v>291</v>
      </c>
      <c r="H14" s="11" t="s">
        <v>153</v>
      </c>
    </row>
    <row r="15" customFormat="false" ht="31.5" hidden="false" customHeight="true" outlineLevel="0" collapsed="false">
      <c r="A15" s="3" t="s">
        <v>292</v>
      </c>
      <c r="B15" s="10" t="s">
        <v>293</v>
      </c>
      <c r="C15" s="9" t="n">
        <v>3999386</v>
      </c>
      <c r="D15" s="9" t="n">
        <v>3664292</v>
      </c>
      <c r="E15" s="10" t="s">
        <v>294</v>
      </c>
      <c r="F15" s="24" t="s">
        <v>157</v>
      </c>
      <c r="G15" s="34" t="s">
        <v>270</v>
      </c>
      <c r="H15" s="11" t="s">
        <v>295</v>
      </c>
    </row>
    <row r="16" customFormat="false" ht="31.5" hidden="false" customHeight="true" outlineLevel="0" collapsed="false">
      <c r="A16" s="3" t="s">
        <v>296</v>
      </c>
      <c r="B16" s="10" t="s">
        <v>172</v>
      </c>
      <c r="C16" s="9" t="n">
        <v>2266800</v>
      </c>
      <c r="D16" s="9" t="n">
        <v>1775300</v>
      </c>
      <c r="E16" s="10" t="s">
        <v>45</v>
      </c>
      <c r="F16" s="24" t="s">
        <v>157</v>
      </c>
      <c r="G16" s="34" t="s">
        <v>270</v>
      </c>
      <c r="H16" s="11" t="s">
        <v>173</v>
      </c>
    </row>
    <row r="17" customFormat="false" ht="31.5" hidden="false" customHeight="true" outlineLevel="0" collapsed="false">
      <c r="A17" s="3" t="s">
        <v>297</v>
      </c>
      <c r="B17" s="10" t="s">
        <v>178</v>
      </c>
      <c r="C17" s="9" t="n">
        <v>2485731</v>
      </c>
      <c r="D17" s="9" t="n">
        <v>1516088</v>
      </c>
      <c r="E17" s="10" t="s">
        <v>298</v>
      </c>
      <c r="F17" s="7" t="s">
        <v>148</v>
      </c>
      <c r="G17" s="33" t="s">
        <v>299</v>
      </c>
      <c r="H17" s="11" t="s">
        <v>179</v>
      </c>
    </row>
    <row r="18" customFormat="false" ht="31.5" hidden="false" customHeight="true" outlineLevel="0" collapsed="false">
      <c r="A18" s="3" t="s">
        <v>300</v>
      </c>
      <c r="B18" s="10" t="s">
        <v>301</v>
      </c>
      <c r="C18" s="9" t="n">
        <v>1246248</v>
      </c>
      <c r="D18" s="9" t="n">
        <v>1313200</v>
      </c>
      <c r="E18" s="10" t="s">
        <v>302</v>
      </c>
      <c r="F18" s="7" t="s">
        <v>148</v>
      </c>
      <c r="G18" s="33" t="s">
        <v>303</v>
      </c>
      <c r="H18" s="11" t="s">
        <v>304</v>
      </c>
    </row>
    <row r="19" customFormat="false" ht="31.5" hidden="false" customHeight="true" outlineLevel="0" collapsed="false">
      <c r="A19" s="3" t="s">
        <v>305</v>
      </c>
      <c r="B19" s="10" t="s">
        <v>306</v>
      </c>
      <c r="C19" s="9" t="n">
        <v>9082887</v>
      </c>
      <c r="D19" s="9" t="n">
        <v>6081000</v>
      </c>
      <c r="E19" s="10" t="s">
        <v>302</v>
      </c>
      <c r="F19" s="23" t="s">
        <v>145</v>
      </c>
      <c r="G19" s="33" t="s">
        <v>307</v>
      </c>
      <c r="H19" s="11" t="s">
        <v>308</v>
      </c>
    </row>
    <row r="20" customFormat="false" ht="31.5" hidden="false" customHeight="true" outlineLevel="0" collapsed="false">
      <c r="A20" s="3" t="s">
        <v>309</v>
      </c>
      <c r="B20" s="10" t="s">
        <v>174</v>
      </c>
      <c r="C20" s="9" t="n">
        <v>3817380</v>
      </c>
      <c r="D20" s="9" t="n">
        <v>4598310</v>
      </c>
      <c r="E20" s="10" t="s">
        <v>310</v>
      </c>
      <c r="F20" s="3" t="s">
        <v>160</v>
      </c>
      <c r="G20" s="34" t="s">
        <v>270</v>
      </c>
      <c r="H20" s="11" t="s">
        <v>175</v>
      </c>
    </row>
    <row r="21" customFormat="false" ht="31.5" hidden="false" customHeight="true" outlineLevel="0" collapsed="false">
      <c r="A21" s="3" t="s">
        <v>311</v>
      </c>
      <c r="B21" s="10" t="s">
        <v>312</v>
      </c>
      <c r="C21" s="25" t="n">
        <v>120.2</v>
      </c>
      <c r="D21" s="25" t="n">
        <v>90.3</v>
      </c>
      <c r="E21" s="10" t="s">
        <v>313</v>
      </c>
      <c r="F21" s="3" t="s">
        <v>160</v>
      </c>
      <c r="G21" s="33" t="s">
        <v>314</v>
      </c>
      <c r="H21" s="11" t="s">
        <v>315</v>
      </c>
    </row>
    <row r="22" customFormat="false" ht="31.5" hidden="false" customHeight="true" outlineLevel="0" collapsed="false">
      <c r="A22" s="3" t="s">
        <v>316</v>
      </c>
      <c r="B22" s="10" t="s">
        <v>317</v>
      </c>
      <c r="C22" s="9" t="n">
        <v>117538000</v>
      </c>
      <c r="D22" s="9" t="n">
        <v>129224000</v>
      </c>
      <c r="E22" s="10" t="s">
        <v>318</v>
      </c>
      <c r="F22" s="24" t="s">
        <v>157</v>
      </c>
      <c r="G22" s="34" t="s">
        <v>270</v>
      </c>
      <c r="H22" s="11" t="s">
        <v>319</v>
      </c>
    </row>
    <row r="23" customFormat="false" ht="31.5" hidden="false" customHeight="true" outlineLevel="0" collapsed="false">
      <c r="A23" s="3" t="s">
        <v>320</v>
      </c>
      <c r="B23" s="10" t="s">
        <v>321</v>
      </c>
      <c r="C23" s="9" t="n">
        <v>10136</v>
      </c>
      <c r="D23" s="9" t="n">
        <v>13384</v>
      </c>
      <c r="E23" s="10" t="s">
        <v>322</v>
      </c>
      <c r="F23" s="24" t="s">
        <v>157</v>
      </c>
      <c r="G23" s="34" t="s">
        <v>270</v>
      </c>
      <c r="H23" s="11" t="s">
        <v>323</v>
      </c>
    </row>
    <row r="24" customFormat="false" ht="31.5" hidden="false" customHeight="true" outlineLevel="0" collapsed="false">
      <c r="A24" s="3" t="s">
        <v>324</v>
      </c>
      <c r="B24" s="10" t="s">
        <v>183</v>
      </c>
      <c r="C24" s="9" t="n">
        <v>430000</v>
      </c>
      <c r="D24" s="9" t="n">
        <v>497000</v>
      </c>
      <c r="E24" s="10" t="s">
        <v>325</v>
      </c>
      <c r="F24" s="7" t="s">
        <v>148</v>
      </c>
      <c r="G24" s="33" t="s">
        <v>326</v>
      </c>
      <c r="H24" s="11" t="s">
        <v>184</v>
      </c>
    </row>
    <row r="25" customFormat="false" ht="31.5" hidden="false" customHeight="true" outlineLevel="0" collapsed="false">
      <c r="A25" s="3" t="s">
        <v>327</v>
      </c>
      <c r="B25" s="10" t="s">
        <v>185</v>
      </c>
      <c r="C25" s="9" t="n">
        <v>1331500</v>
      </c>
      <c r="D25" s="9" t="n">
        <v>1353500</v>
      </c>
      <c r="E25" s="10" t="s">
        <v>328</v>
      </c>
      <c r="F25" s="24" t="s">
        <v>157</v>
      </c>
      <c r="G25" s="34" t="s">
        <v>270</v>
      </c>
      <c r="H25" s="11" t="s">
        <v>186</v>
      </c>
    </row>
    <row r="26" customFormat="false" ht="31.5" hidden="false" customHeight="true" outlineLevel="0" collapsed="false">
      <c r="A26" s="3" t="s">
        <v>329</v>
      </c>
      <c r="B26" s="10" t="s">
        <v>330</v>
      </c>
      <c r="C26" s="9" t="n">
        <v>6436000</v>
      </c>
      <c r="D26" s="9" t="n">
        <v>7259000</v>
      </c>
      <c r="E26" s="10" t="s">
        <v>331</v>
      </c>
      <c r="F26" s="24" t="s">
        <v>157</v>
      </c>
      <c r="G26" s="34" t="s">
        <v>270</v>
      </c>
      <c r="H26" s="11" t="s">
        <v>332</v>
      </c>
    </row>
    <row r="27" customFormat="false" ht="31.5" hidden="false" customHeight="true" outlineLevel="0" collapsed="false">
      <c r="A27" s="3" t="s">
        <v>333</v>
      </c>
      <c r="B27" s="10" t="s">
        <v>334</v>
      </c>
      <c r="C27" s="9" t="n">
        <v>139064000</v>
      </c>
      <c r="D27" s="9" t="n">
        <v>152581000</v>
      </c>
      <c r="E27" s="10" t="s">
        <v>45</v>
      </c>
      <c r="F27" s="24" t="s">
        <v>157</v>
      </c>
      <c r="G27" s="34" t="s">
        <v>270</v>
      </c>
      <c r="H27" s="11" t="s">
        <v>335</v>
      </c>
    </row>
    <row r="28" customFormat="false" ht="31.5" hidden="false" customHeight="true" outlineLevel="0" collapsed="false">
      <c r="A28" s="3" t="s">
        <v>336</v>
      </c>
      <c r="B28" s="10" t="s">
        <v>200</v>
      </c>
      <c r="C28" s="25" t="n">
        <v>218.056</v>
      </c>
      <c r="D28" s="25" t="n">
        <v>270.97</v>
      </c>
      <c r="E28" s="10" t="s">
        <v>337</v>
      </c>
      <c r="F28" s="24" t="s">
        <v>157</v>
      </c>
      <c r="G28" s="34" t="s">
        <v>270</v>
      </c>
      <c r="H28" s="11" t="s">
        <v>201</v>
      </c>
    </row>
    <row r="29" customFormat="false" ht="31.5" hidden="false" customHeight="true" outlineLevel="0" collapsed="false">
      <c r="A29" s="3" t="s">
        <v>338</v>
      </c>
      <c r="B29" s="10" t="s">
        <v>190</v>
      </c>
      <c r="C29" s="25" t="n">
        <v>388.436</v>
      </c>
      <c r="D29" s="25" t="n">
        <v>525.276</v>
      </c>
      <c r="E29" s="10" t="s">
        <v>337</v>
      </c>
      <c r="F29" s="24" t="s">
        <v>157</v>
      </c>
      <c r="G29" s="34" t="s">
        <v>270</v>
      </c>
      <c r="H29" s="11" t="s">
        <v>191</v>
      </c>
    </row>
    <row r="30" customFormat="false" ht="31.5" hidden="false" customHeight="true" outlineLevel="0" collapsed="false">
      <c r="A30" s="3" t="s">
        <v>339</v>
      </c>
      <c r="B30" s="10" t="s">
        <v>196</v>
      </c>
      <c r="C30" s="25" t="n">
        <v>29.72</v>
      </c>
      <c r="D30" s="25" t="n">
        <v>40.35</v>
      </c>
      <c r="E30" s="10" t="s">
        <v>340</v>
      </c>
      <c r="F30" s="24" t="s">
        <v>157</v>
      </c>
      <c r="G30" s="34" t="s">
        <v>270</v>
      </c>
      <c r="H30" s="11" t="s">
        <v>197</v>
      </c>
    </row>
    <row r="31" customFormat="false" ht="31.5" hidden="false" customHeight="true" outlineLevel="0" collapsed="false">
      <c r="A31" s="3" t="s">
        <v>341</v>
      </c>
      <c r="B31" s="10" t="s">
        <v>342</v>
      </c>
      <c r="C31" s="25" t="n">
        <v>113.3</v>
      </c>
      <c r="D31" s="25" t="n">
        <v>147.9</v>
      </c>
      <c r="E31" s="10" t="s">
        <v>337</v>
      </c>
      <c r="F31" s="24" t="s">
        <v>157</v>
      </c>
      <c r="G31" s="34" t="s">
        <v>270</v>
      </c>
      <c r="H31" s="11" t="s">
        <v>343</v>
      </c>
    </row>
    <row r="32" customFormat="false" ht="31.5" hidden="false" customHeight="true" outlineLevel="0" collapsed="false">
      <c r="A32" s="3" t="s">
        <v>344</v>
      </c>
      <c r="B32" s="10" t="s">
        <v>208</v>
      </c>
      <c r="C32" s="25" t="n">
        <v>171.867</v>
      </c>
      <c r="D32" s="25" t="n">
        <v>243.233</v>
      </c>
      <c r="E32" s="10" t="s">
        <v>337</v>
      </c>
      <c r="F32" s="24" t="s">
        <v>157</v>
      </c>
      <c r="G32" s="34" t="s">
        <v>270</v>
      </c>
      <c r="H32" s="11" t="s">
        <v>209</v>
      </c>
    </row>
    <row r="33" customFormat="false" ht="31.5" hidden="false" customHeight="true" outlineLevel="0" collapsed="false">
      <c r="A33" s="3" t="s">
        <v>345</v>
      </c>
      <c r="B33" s="10" t="s">
        <v>346</v>
      </c>
      <c r="C33" s="9" t="n">
        <v>2593.644</v>
      </c>
      <c r="D33" s="9" t="n">
        <v>4255.1</v>
      </c>
      <c r="E33" s="10" t="s">
        <v>347</v>
      </c>
      <c r="F33" s="3" t="s">
        <v>160</v>
      </c>
      <c r="G33" s="34" t="s">
        <v>270</v>
      </c>
      <c r="H33" s="11" t="s">
        <v>348</v>
      </c>
    </row>
    <row r="34" customFormat="false" ht="31.5" hidden="false" customHeight="true" outlineLevel="0" collapsed="false">
      <c r="A34" s="3" t="s">
        <v>349</v>
      </c>
      <c r="B34" s="10" t="s">
        <v>350</v>
      </c>
      <c r="C34" s="25" t="n">
        <v>140.5</v>
      </c>
      <c r="D34" s="25" t="n">
        <v>181.3</v>
      </c>
      <c r="E34" s="10" t="s">
        <v>347</v>
      </c>
      <c r="F34" s="3" t="s">
        <v>160</v>
      </c>
      <c r="G34" s="34" t="s">
        <v>270</v>
      </c>
      <c r="H34" s="11" t="s">
        <v>351</v>
      </c>
    </row>
    <row r="35" customFormat="false" ht="31.5" hidden="false" customHeight="true" outlineLevel="0" collapsed="false">
      <c r="A35" s="3" t="s">
        <v>352</v>
      </c>
      <c r="B35" s="10" t="s">
        <v>353</v>
      </c>
      <c r="C35" s="25" t="n">
        <v>259.1</v>
      </c>
      <c r="D35" s="25" t="n">
        <v>378</v>
      </c>
      <c r="E35" s="10" t="s">
        <v>347</v>
      </c>
      <c r="F35" s="3" t="s">
        <v>160</v>
      </c>
      <c r="G35" s="34" t="s">
        <v>270</v>
      </c>
      <c r="H35" s="11" t="s">
        <v>354</v>
      </c>
    </row>
    <row r="36" customFormat="false" ht="31.5" hidden="false" customHeight="true" outlineLevel="0" collapsed="false">
      <c r="A36" s="3" t="s">
        <v>355</v>
      </c>
      <c r="B36" s="10" t="s">
        <v>356</v>
      </c>
      <c r="C36" s="25" t="n">
        <v>184.2</v>
      </c>
      <c r="D36" s="25" t="n">
        <v>307.2</v>
      </c>
      <c r="E36" s="10" t="s">
        <v>347</v>
      </c>
      <c r="F36" s="3" t="s">
        <v>160</v>
      </c>
      <c r="G36" s="34" t="s">
        <v>270</v>
      </c>
      <c r="H36" s="11" t="s">
        <v>357</v>
      </c>
    </row>
    <row r="37" customFormat="false" ht="31.5" hidden="false" customHeight="true" outlineLevel="0" collapsed="false">
      <c r="A37" s="3" t="s">
        <v>358</v>
      </c>
      <c r="B37" s="10" t="s">
        <v>359</v>
      </c>
      <c r="C37" s="25" t="n">
        <v>77.114</v>
      </c>
      <c r="D37" s="25" t="n">
        <v>96.809</v>
      </c>
      <c r="E37" s="10" t="s">
        <v>347</v>
      </c>
      <c r="F37" s="3" t="s">
        <v>160</v>
      </c>
      <c r="G37" s="34" t="s">
        <v>270</v>
      </c>
      <c r="H37" s="11" t="s">
        <v>360</v>
      </c>
    </row>
    <row r="38" customFormat="false" ht="31.5" hidden="false" customHeight="true" outlineLevel="0" collapsed="false">
      <c r="A38" s="3" t="s">
        <v>361</v>
      </c>
      <c r="B38" s="10" t="s">
        <v>362</v>
      </c>
      <c r="C38" s="25" t="n">
        <v>110.997</v>
      </c>
      <c r="D38" s="25" t="n">
        <v>155.844</v>
      </c>
      <c r="E38" s="10" t="s">
        <v>347</v>
      </c>
      <c r="F38" s="3" t="s">
        <v>160</v>
      </c>
      <c r="G38" s="34" t="s">
        <v>270</v>
      </c>
      <c r="H38" s="11" t="s">
        <v>363</v>
      </c>
    </row>
    <row r="39" customFormat="false" ht="31.5" hidden="false" customHeight="true" outlineLevel="0" collapsed="false">
      <c r="A39" s="3" t="s">
        <v>364</v>
      </c>
      <c r="B39" s="10" t="s">
        <v>365</v>
      </c>
      <c r="C39" s="25" t="n">
        <v>46.128</v>
      </c>
      <c r="D39" s="25" t="n">
        <v>58.395</v>
      </c>
      <c r="E39" s="10" t="s">
        <v>347</v>
      </c>
      <c r="F39" s="3" t="s">
        <v>160</v>
      </c>
      <c r="G39" s="34" t="s">
        <v>270</v>
      </c>
      <c r="H39" s="11" t="s">
        <v>366</v>
      </c>
    </row>
    <row r="40" customFormat="false" ht="31.5" hidden="false" customHeight="true" outlineLevel="0" collapsed="false">
      <c r="A40" s="3" t="s">
        <v>367</v>
      </c>
      <c r="B40" s="10" t="s">
        <v>368</v>
      </c>
      <c r="C40" s="25" t="n">
        <v>45.944</v>
      </c>
      <c r="D40" s="25" t="n">
        <v>67.778</v>
      </c>
      <c r="E40" s="10" t="s">
        <v>347</v>
      </c>
      <c r="F40" s="3" t="s">
        <v>160</v>
      </c>
      <c r="G40" s="34" t="s">
        <v>270</v>
      </c>
      <c r="H40" s="11" t="s">
        <v>369</v>
      </c>
    </row>
    <row r="41" customFormat="false" ht="31.5" hidden="false" customHeight="true" outlineLevel="0" collapsed="false">
      <c r="A41" s="3" t="s">
        <v>370</v>
      </c>
      <c r="B41" s="10" t="s">
        <v>194</v>
      </c>
      <c r="C41" s="25" t="n">
        <v>462.346</v>
      </c>
      <c r="D41" s="25" t="n">
        <v>554.923</v>
      </c>
      <c r="E41" s="10" t="s">
        <v>371</v>
      </c>
      <c r="F41" s="24" t="s">
        <v>157</v>
      </c>
      <c r="G41" s="34" t="s">
        <v>270</v>
      </c>
      <c r="H41" s="11" t="s">
        <v>195</v>
      </c>
    </row>
    <row r="42" customFormat="false" ht="31.5" hidden="false" customHeight="true" outlineLevel="0" collapsed="false">
      <c r="A42" s="3" t="s">
        <v>372</v>
      </c>
      <c r="B42" s="10" t="s">
        <v>212</v>
      </c>
      <c r="C42" s="9" t="n">
        <v>10663</v>
      </c>
      <c r="D42" s="9" t="n">
        <v>14295</v>
      </c>
      <c r="E42" s="10" t="s">
        <v>81</v>
      </c>
      <c r="F42" s="24" t="s">
        <v>157</v>
      </c>
      <c r="G42" s="34" t="s">
        <v>270</v>
      </c>
      <c r="H42" s="11" t="s">
        <v>213</v>
      </c>
    </row>
    <row r="43" customFormat="false" ht="31.5" hidden="false" customHeight="true" outlineLevel="0" collapsed="false">
      <c r="A43" s="3" t="s">
        <v>373</v>
      </c>
      <c r="B43" s="10" t="s">
        <v>374</v>
      </c>
      <c r="C43" s="25" t="n">
        <v>40.28</v>
      </c>
      <c r="D43" s="25" t="n">
        <v>54.96</v>
      </c>
      <c r="E43" s="10" t="s">
        <v>340</v>
      </c>
      <c r="F43" s="24" t="s">
        <v>157</v>
      </c>
      <c r="G43" s="34" t="s">
        <v>270</v>
      </c>
      <c r="H43" s="11" t="s">
        <v>375</v>
      </c>
    </row>
    <row r="44" customFormat="false" ht="31.5" hidden="false" customHeight="true" outlineLevel="0" collapsed="false">
      <c r="A44" s="3" t="s">
        <v>376</v>
      </c>
      <c r="B44" s="10" t="s">
        <v>377</v>
      </c>
      <c r="C44" s="9" t="n">
        <v>17794.12</v>
      </c>
      <c r="D44" s="9" t="n">
        <v>25373.42</v>
      </c>
      <c r="E44" s="10" t="s">
        <v>378</v>
      </c>
      <c r="F44" s="3" t="s">
        <v>160</v>
      </c>
      <c r="G44" s="34" t="s">
        <v>270</v>
      </c>
      <c r="H44" s="11" t="s">
        <v>379</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5" min="2" style="0" width="20"/>
    <col collapsed="false" customWidth="true" hidden="false" outlineLevel="0" max="6" min="6" style="0" width="18"/>
    <col collapsed="false" customWidth="true" hidden="false" outlineLevel="0" max="7" min="7" style="0" width="70"/>
  </cols>
  <sheetData>
    <row r="1" customFormat="false" ht="25.5" hidden="false" customHeight="true" outlineLevel="0" collapsed="false">
      <c r="A1" s="1" t="s">
        <v>380</v>
      </c>
      <c r="B1" s="1"/>
      <c r="C1" s="1"/>
      <c r="D1" s="1"/>
      <c r="E1" s="1"/>
      <c r="F1" s="1"/>
      <c r="G1" s="1"/>
      <c r="H1" s="1"/>
      <c r="I1" s="1"/>
      <c r="J1" s="1"/>
      <c r="K1" s="1"/>
      <c r="L1" s="1"/>
      <c r="M1" s="1"/>
      <c r="N1" s="1"/>
    </row>
    <row r="2" customFormat="false" ht="15" hidden="false" customHeight="false" outlineLevel="0" collapsed="false">
      <c r="A2" s="2" t="s">
        <v>381</v>
      </c>
      <c r="B2" s="2"/>
      <c r="C2" s="2"/>
      <c r="D2" s="2"/>
      <c r="E2" s="2"/>
      <c r="F2" s="2"/>
      <c r="G2" s="2"/>
      <c r="H2" s="2"/>
      <c r="I2" s="2"/>
      <c r="J2" s="2"/>
      <c r="K2" s="2"/>
      <c r="L2" s="2"/>
      <c r="M2" s="2"/>
      <c r="N2" s="2"/>
    </row>
    <row r="4" customFormat="false" ht="15" hidden="false" customHeight="true" outlineLevel="0" collapsed="false">
      <c r="A4" s="35" t="s">
        <v>382</v>
      </c>
      <c r="B4" s="35"/>
      <c r="C4" s="35"/>
      <c r="D4" s="35"/>
      <c r="E4" s="35"/>
      <c r="F4" s="35"/>
      <c r="G4" s="35"/>
      <c r="H4" s="35"/>
    </row>
    <row r="5" customFormat="false" ht="15" hidden="false" customHeight="false" outlineLevel="0" collapsed="false">
      <c r="A5" s="35"/>
      <c r="B5" s="35"/>
      <c r="C5" s="35"/>
      <c r="D5" s="35"/>
      <c r="E5" s="35"/>
      <c r="F5" s="35"/>
      <c r="G5" s="35"/>
      <c r="H5" s="35"/>
    </row>
    <row r="7" customFormat="false" ht="30" hidden="false" customHeight="true" outlineLevel="0" collapsed="false">
      <c r="A7" s="8" t="s">
        <v>383</v>
      </c>
      <c r="B7" s="8" t="s">
        <v>384</v>
      </c>
      <c r="C7" s="8" t="s">
        <v>385</v>
      </c>
      <c r="D7" s="8" t="s">
        <v>220</v>
      </c>
      <c r="E7" s="8" t="s">
        <v>221</v>
      </c>
      <c r="F7" s="8" t="s">
        <v>386</v>
      </c>
      <c r="G7" s="8" t="s">
        <v>387</v>
      </c>
    </row>
    <row r="8" customFormat="false" ht="60" hidden="false" customHeight="true" outlineLevel="0" collapsed="false">
      <c r="A8" s="3" t="s">
        <v>388</v>
      </c>
      <c r="B8" s="15" t="n">
        <v>191100</v>
      </c>
      <c r="C8" s="17" t="n">
        <v>191100</v>
      </c>
      <c r="D8" s="17" t="n">
        <v>357112.566819942</v>
      </c>
      <c r="E8" s="17" t="n">
        <v>311753.413817286</v>
      </c>
      <c r="F8" s="19" t="n">
        <f aca="false">D8/06_COMPONENT_CALC!H35</f>
        <v>0.754006947940115</v>
      </c>
      <c r="G8" s="11" t="s">
        <v>389</v>
      </c>
    </row>
    <row r="9" customFormat="false" ht="60" hidden="false" customHeight="true" outlineLevel="0" collapsed="false">
      <c r="A9" s="3" t="s">
        <v>390</v>
      </c>
      <c r="B9" s="15" t="n">
        <v>24300</v>
      </c>
      <c r="C9" s="17" t="n">
        <v>24300</v>
      </c>
      <c r="D9" s="17" t="n">
        <v>25618.7147145162</v>
      </c>
      <c r="E9" s="17" t="n">
        <v>22256.4934323829</v>
      </c>
      <c r="F9" s="19" t="n">
        <f aca="false">D9/06_COMPONENT_CALC!H35</f>
        <v>0.0540913165393602</v>
      </c>
      <c r="G9" s="11" t="s">
        <v>391</v>
      </c>
    </row>
    <row r="10" customFormat="false" ht="60" hidden="false" customHeight="true" outlineLevel="0" collapsed="false">
      <c r="A10" s="3" t="s">
        <v>392</v>
      </c>
      <c r="B10" s="15" t="n">
        <v>5500</v>
      </c>
      <c r="C10" s="17" t="n">
        <v>5500</v>
      </c>
      <c r="D10" s="17" t="n">
        <v>6821.16610229873</v>
      </c>
      <c r="E10" s="17" t="n">
        <v>10781.8431939561</v>
      </c>
      <c r="F10" s="19" t="n">
        <f aca="false">D10/06_COMPONENT_CALC!H35</f>
        <v>0.0144022000681372</v>
      </c>
      <c r="G10" s="11" t="s">
        <v>393</v>
      </c>
    </row>
    <row r="12" customFormat="false" ht="15" hidden="false" customHeight="false" outlineLevel="0" collapsed="false">
      <c r="A12" s="23" t="s">
        <v>394</v>
      </c>
      <c r="D12" s="36" t="n">
        <f aca="false">SUM(D8:D10)</f>
        <v>389552.447636757</v>
      </c>
      <c r="E12" s="27" t="s">
        <v>395</v>
      </c>
    </row>
  </sheetData>
  <mergeCells count="3">
    <mergeCell ref="A1:N1"/>
    <mergeCell ref="A2:N2"/>
    <mergeCell ref="A4:H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2026-07-28T17:12:19Z</dcterms:created>
  <dc:creator>openpyxl</dc:creator>
  <dc:description/>
  <dc:language>en-US</dc:language>
  <cp:lastModifiedBy/>
  <dcterms:modified xsi:type="dcterms:W3CDTF">2026-07-28T17:12:19Z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